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5600" windowHeight="8190" tabRatio="635" firstSheet="4" activeTab="8"/>
  </bookViews>
  <sheets>
    <sheet name="Motor Home Page" sheetId="1" r:id="rId1"/>
    <sheet name="TW Enhancement" sheetId="3" r:id="rId2"/>
    <sheet name="TW LT Enh_3Yrs" sheetId="28" r:id="rId3"/>
    <sheet name="TW LT &amp; Bund Enh" sheetId="42" r:id="rId4"/>
    <sheet name="LT TW Liability" sheetId="29" r:id="rId5"/>
    <sheet name="New PC Enh &amp; Bundled" sheetId="40" r:id="rId6"/>
    <sheet name="PCV &lt;6 Nil Dep" sheetId="36" r:id="rId7"/>
    <sheet name="PCV &gt;6 Nil Dep" sheetId="37" r:id="rId8"/>
    <sheet name="GCV Package and Nil Dep" sheetId="38" r:id="rId9"/>
    <sheet name="3 wheeled Pass carrying &lt;6" sheetId="17" r:id="rId10"/>
    <sheet name="Tractor &amp; Trailer" sheetId="15" r:id="rId11"/>
    <sheet name="MISC" sheetId="16" r:id="rId12"/>
    <sheet name="TRANSFER" sheetId="23" r:id="rId13"/>
    <sheet name="Difference in TP Rates" sheetId="34" state="hidden" r:id="rId14"/>
  </sheets>
  <externalReferences>
    <externalReference r:id="rId15"/>
    <externalReference r:id="rId16"/>
  </externalReferences>
  <definedNames>
    <definedName name="age_auto">"$#REF!.$M$60:$M$62"</definedName>
    <definedName name="Age_Enh_Maxi">'PCV &gt;6 Nil Dep'!$T$75:$T$79</definedName>
    <definedName name="Age_Enh_Taxi">'PCV &lt;6 Nil Dep'!$BA$210:$BA$214</definedName>
    <definedName name="Age_Pack_Maxi">'PCV &gt;6 Nil Dep'!$S$75:$S$77</definedName>
    <definedName name="Age_Pack_Taxi">'PCV &lt;6 Nil Dep'!$AZ$210:$AZ$212</definedName>
    <definedName name="age_Pack_TW">'TW Enhancement'!$AX$101:$AX$107</definedName>
    <definedName name="age_tw_pack">'TW Enhancement'!$AW$101:$AW$103</definedName>
    <definedName name="agebus" localSheetId="8">"$#REF!.$AH$69:$AH$71"</definedName>
    <definedName name="agebus" localSheetId="5">"$#REF!.$AH$69:$AH$71"</definedName>
    <definedName name="agebus" localSheetId="6">"$#REF!.$AH$69:$AH$71"</definedName>
    <definedName name="agebus" localSheetId="7">"$#REF!.$AH$69:$AH$71"</definedName>
    <definedName name="agebus">#REF!</definedName>
    <definedName name="agegcv" localSheetId="8">#REF!</definedName>
    <definedName name="agegcv" localSheetId="4">'[1]GCV Public'!$M$59:$M$61</definedName>
    <definedName name="agegcv" localSheetId="5">#REF!</definedName>
    <definedName name="agegcv" localSheetId="6">#REF!</definedName>
    <definedName name="agegcv" localSheetId="7">#REF!</definedName>
    <definedName name="agegcv" localSheetId="3">'[2]GCV Public'!$M$59:$M$61</definedName>
    <definedName name="agegcv" localSheetId="2">'[1]GCV Public'!$M$59:$M$61</definedName>
    <definedName name="agegcv">#REF!</definedName>
    <definedName name="agepc_enh" localSheetId="8">"$#REF!.$AX$99:$AX$103"</definedName>
    <definedName name="agepc_enh" localSheetId="5">"$#REF!.$AX$99:$AX$103"</definedName>
    <definedName name="agepc_enh" localSheetId="6">"$#REF!.$AX$99:$AX$103"</definedName>
    <definedName name="agepc_enh" localSheetId="7">"$#REF!.$AX$99:$AX$103"</definedName>
    <definedName name="agepc_enh" localSheetId="3">#REF!</definedName>
    <definedName name="agepc_enh">#REF!</definedName>
    <definedName name="ageten">"$#REF!.$BF$103:$BF$105"</definedName>
    <definedName name="agetw_enh" localSheetId="8">'TW Enhancement'!$AX$101:$AX$105</definedName>
    <definedName name="agetw_enh" localSheetId="4">'[1]TW Enhancement'!$AX$99:$AX$103</definedName>
    <definedName name="agetw_enh" localSheetId="5">'TW Enhancement'!$AX$101:$AX$105</definedName>
    <definedName name="agetw_enh" localSheetId="6">'TW Enhancement'!$AX$101:$AX$105</definedName>
    <definedName name="agetw_enh" localSheetId="7">'TW Enhancement'!$AX$101:$AX$105</definedName>
    <definedName name="agetw_enh" localSheetId="3">'[2]TW Enhancement'!$AX$99:$AX$103</definedName>
    <definedName name="agetw_enh" localSheetId="2">'[1]TW Enhancement'!$AX$99:$AX$103</definedName>
    <definedName name="agetw_enh">'TW Enhancement'!$AX$101:$AX$105</definedName>
    <definedName name="ALL">"$#REF!.$Y$44:$Y$49"</definedName>
    <definedName name="binary">"$#REF!.$BE$99:$BE$100"</definedName>
    <definedName name="BinaryGPA">"$#REF!.$AA$55:$AA$56"</definedName>
    <definedName name="busncb" localSheetId="8">"$#REF!.$S$52:$S$57"</definedName>
    <definedName name="busncb" localSheetId="4">'[1]PCV &gt;6'!$S$52:$S$57</definedName>
    <definedName name="busncb" localSheetId="5">"$#REF!.$S$52:$S$57"</definedName>
    <definedName name="busncb" localSheetId="6">"$#REF!.$S$52:$S$57"</definedName>
    <definedName name="busncb" localSheetId="7">"$#REF!.$S$52:$S$57"</definedName>
    <definedName name="busncb" localSheetId="3">'[2]PCV &gt;6'!$S$52:$S$57</definedName>
    <definedName name="busncb" localSheetId="2">'[1]PCV &gt;6'!$S$52:$S$57</definedName>
    <definedName name="busncb">#REF!</definedName>
    <definedName name="CC">"$#REF!.$BD$99:$BD$102"</definedName>
    <definedName name="cctaxi" localSheetId="8">"$#REF!.$U$60:$W$60"</definedName>
    <definedName name="cctaxi" localSheetId="5">"$#REF!.$U$60:$W$60"</definedName>
    <definedName name="cctaxi" localSheetId="6">"$#REF!.$U$60:$W$60"</definedName>
    <definedName name="cctaxi" localSheetId="7">"$#REF!.$U$60:$W$60"</definedName>
    <definedName name="cctaxi">#REF!</definedName>
    <definedName name="Cctaxi1" localSheetId="8">"$#REF!.$R$64:$R$66"</definedName>
    <definedName name="Cctaxi1" localSheetId="5">"$#REF!.$R$64:$R$66"</definedName>
    <definedName name="Cctaxi1" localSheetId="6">"$#REF!.$R$64:$R$66"</definedName>
    <definedName name="Cctaxi1" localSheetId="7">"$#REF!.$R$64:$R$66"</definedName>
    <definedName name="Cctaxi1">#REF!</definedName>
    <definedName name="covertype">"$#REF!.$AB$40:$AB$42"</definedName>
    <definedName name="GCV_Pack">'GCV Package and Nil Dep'!$N$85:$N$87</definedName>
    <definedName name="GCV_ZONE">MISC!$K$23:$K$25</definedName>
    <definedName name="gcvage">MISC!$L$23:$L$25</definedName>
    <definedName name="gcvncb" localSheetId="8">#REF!</definedName>
    <definedName name="gcvncb" localSheetId="4">'[1]GCV Public'!$S$51:$S$56</definedName>
    <definedName name="gcvncb" localSheetId="5">#REF!</definedName>
    <definedName name="gcvncb" localSheetId="6">#REF!</definedName>
    <definedName name="gcvncb" localSheetId="7">#REF!</definedName>
    <definedName name="gcvncb" localSheetId="3">'[2]GCV Public'!$S$51:$S$56</definedName>
    <definedName name="gcvncb" localSheetId="2">'[1]GCV Public'!$S$51:$S$56</definedName>
    <definedName name="gcvncb">MISC!$B$6</definedName>
    <definedName name="gvwgcv">#REF!</definedName>
    <definedName name="NCB">MISC!$M$23:$M$28</definedName>
    <definedName name="ncb_auto">"$#REF!.$S$52:$S$57"</definedName>
    <definedName name="ncbbus" localSheetId="8">"$#REF!.$S$53:$S$57"</definedName>
    <definedName name="ncbbus" localSheetId="5">"$#REF!.$S$53:$S$57"</definedName>
    <definedName name="ncbbus" localSheetId="6">"$#REF!.$S$53:$S$57"</definedName>
    <definedName name="ncbbus" localSheetId="7">"$#REF!.$S$53:$S$57"</definedName>
    <definedName name="ncbbus">#REF!</definedName>
    <definedName name="ncbgcv">#REF!</definedName>
    <definedName name="ncbpc" localSheetId="8">"$#REF!.$S$52:$S$57"</definedName>
    <definedName name="ncbpc" localSheetId="4">'[1]PCV &lt;6'!$S$52:$S$57</definedName>
    <definedName name="ncbpc" localSheetId="5">"$#REF!.$S$52:$S$57"</definedName>
    <definedName name="ncbpc" localSheetId="6">"$#REF!.$S$52:$S$57"</definedName>
    <definedName name="ncbpc" localSheetId="7">"$#REF!.$S$52:$S$57"</definedName>
    <definedName name="ncbpc" localSheetId="3">'[2]PCV &lt;6'!$S$52:$S$57</definedName>
    <definedName name="ncbpc" localSheetId="2">'[1]PCV &lt;6'!$S$52:$S$57</definedName>
    <definedName name="ncbpc">#REF!</definedName>
    <definedName name="NCBPR" localSheetId="8">#REF!</definedName>
    <definedName name="NCBPR" localSheetId="4">'[1]GCV Private'!$S$51:$S$56</definedName>
    <definedName name="NCBPR" localSheetId="5">#REF!</definedName>
    <definedName name="NCBPR" localSheetId="6">#REF!</definedName>
    <definedName name="NCBPR" localSheetId="7">#REF!</definedName>
    <definedName name="NCBPR" localSheetId="3">'[2]GCV Private'!$S$51:$S$56</definedName>
    <definedName name="NCBPR" localSheetId="2">'[1]GCV Private'!$S$51:$S$56</definedName>
    <definedName name="NCBPR">#REF!</definedName>
    <definedName name="ncbtaxi" localSheetId="8">"$#REF!.$S$53:$S$57"</definedName>
    <definedName name="ncbtaxi" localSheetId="5">"$#REF!.$S$53:$S$57"</definedName>
    <definedName name="ncbtaxi" localSheetId="6">"$#REF!.$S$53:$S$57"</definedName>
    <definedName name="ncbtaxi" localSheetId="7">"$#REF!.$S$53:$S$57"</definedName>
    <definedName name="ncbtaxi">#REF!</definedName>
    <definedName name="nildepgcfv" localSheetId="8">'GCV Package and Nil Dep'!$O$85:$O$89</definedName>
    <definedName name="nildepgcfv" localSheetId="4">'[1]GCV Nil Dep'!$O$85:$O$89</definedName>
    <definedName name="nildepgcfv" localSheetId="5">'GCV Package and Nil Dep'!$O$85:$O$89</definedName>
    <definedName name="nildepgcfv" localSheetId="6">'GCV Package and Nil Dep'!$O$85:$O$89</definedName>
    <definedName name="nildepgcfv" localSheetId="7">'GCV Package and Nil Dep'!$O$85:$O$89</definedName>
    <definedName name="nildepgcfv" localSheetId="3">'[2]GCV Nil Dep'!$O$85:$O$89</definedName>
    <definedName name="nildepgcfv" localSheetId="2">'[1]GCV Nil Dep'!$O$85:$O$89</definedName>
    <definedName name="nildepgcfv">#REF!</definedName>
    <definedName name="nildepgcv">"#REF!"</definedName>
    <definedName name="nothing" localSheetId="8">"$#REF!.$AX$99:$AX$103"</definedName>
    <definedName name="nothing" localSheetId="5">"$#REF!.$AX$99:$AX$103"</definedName>
    <definedName name="nothing" localSheetId="6">"$#REF!.$AX$99:$AX$103"</definedName>
    <definedName name="nothing" localSheetId="7">"$#REF!.$AX$99:$AX$103"</definedName>
    <definedName name="nothing" localSheetId="3">#REF!</definedName>
    <definedName name="nothing">#REF!</definedName>
    <definedName name="PC_Age_Pack">'New PC Enh &amp; Bundled'!$AX$102:$AX$108</definedName>
    <definedName name="PC_EnhAge">'New PC Enh &amp; Bundled'!$AX$102:$AX$106</definedName>
    <definedName name="PC_LT">'New PC Enh &amp; Bundled'!$AX$115</definedName>
    <definedName name="PC_Pack_Age">'New PC Enh &amp; Bundled'!$AX$109:$AX$111</definedName>
    <definedName name="pcage_enh" localSheetId="8">"$#REF!.$AX$99:$AX$101"</definedName>
    <definedName name="pcage_enh" localSheetId="4">'[1]PC Zero Dep'!$AX$99:$AX$101</definedName>
    <definedName name="pcage_enh" localSheetId="5">"$#REF!.$AX$99:$AX$101"</definedName>
    <definedName name="pcage_enh" localSheetId="6">"$#REF!.$AX$99:$AX$101"</definedName>
    <definedName name="pcage_enh" localSheetId="7">"$#REF!.$AX$99:$AX$101"</definedName>
    <definedName name="pcage_enh" localSheetId="3">'[2]PC Zero Dep'!$AX$99:$AX$101</definedName>
    <definedName name="pcage_enh" localSheetId="2">'[1]PC Zero Dep'!$AX$99:$AX$101</definedName>
    <definedName name="pcage_enh">#REF!</definedName>
    <definedName name="_xlnm.Print_Area" localSheetId="9">'3 wheeled Pass carrying &lt;6'!$A$1:$F$18</definedName>
    <definedName name="_xlnm.Print_Area" localSheetId="8">'GCV Package and Nil Dep'!$A$1:$F$23</definedName>
    <definedName name="_xlnm.Print_Area" localSheetId="4">'LT TW Liability'!$A$1:$F$22</definedName>
    <definedName name="_xlnm.Print_Area" localSheetId="11">MISC!$A$1:$F$19</definedName>
    <definedName name="_xlnm.Print_Area" localSheetId="5">'New PC Enh &amp; Bundled'!$A$1:$F$43</definedName>
    <definedName name="_xlnm.Print_Area" localSheetId="6">'PCV &lt;6 Nil Dep'!$A$1:$F$20</definedName>
    <definedName name="_xlnm.Print_Area" localSheetId="7">'PCV &gt;6 Nil Dep'!$A$1:$H$23</definedName>
    <definedName name="_xlnm.Print_Area" localSheetId="10">'Tractor &amp; Trailer'!$A$1:$F$21</definedName>
    <definedName name="_xlnm.Print_Area" localSheetId="1">'TW Enhancement'!$A$1:$F$17</definedName>
    <definedName name="_xlnm.Print_Area" localSheetId="3">'TW LT &amp; Bund Enh'!$A$1:$I$26</definedName>
    <definedName name="_xlnm.Print_Area" localSheetId="2">'TW LT Enh_3Yrs'!$A$1:$I$22</definedName>
    <definedName name="RG">"$#REF!.$AB$55:$AB$57"</definedName>
    <definedName name="table">"$#REF!.$AA$59:$AA$62"</definedName>
    <definedName name="tenyear">"$#REF!.$BF$99:$BF$101"</definedName>
    <definedName name="tenyear2">"$#REF!.$BN$99:$BN$101"</definedName>
    <definedName name="THREEZONES">"$#REF!.$BB$99:$BB$101"</definedName>
    <definedName name="twozone" localSheetId="8">"$#REF!.$P$60:$P$61"</definedName>
    <definedName name="twozone" localSheetId="4">'[1]PCV &lt;6'!$P$60:$P$61</definedName>
    <definedName name="twozone" localSheetId="5">"$#REF!.$P$60:$P$61"</definedName>
    <definedName name="twozone" localSheetId="6">"$#REF!.$P$60:$P$61"</definedName>
    <definedName name="twozone" localSheetId="7">"$#REF!.$P$60:$P$61"</definedName>
    <definedName name="twozone" localSheetId="3">'[2]PCV &lt;6'!$P$60:$P$61</definedName>
    <definedName name="twozone" localSheetId="2">'[1]PCV &lt;6'!$P$60:$P$61</definedName>
    <definedName name="twozone">#REF!</definedName>
    <definedName name="TWOZONES">"$#REF!.$BC$99:$BC$100"</definedName>
    <definedName name="Typeofcover">"$#REF!.$AB$42"</definedName>
    <definedName name="YN">MISC!$N$23:$N$24</definedName>
    <definedName name="YNBUS" localSheetId="8">"$#REF!.$Y$69:$Y$70"</definedName>
    <definedName name="YNBUS" localSheetId="5">"$#REF!.$Y$69:$Y$70"</definedName>
    <definedName name="YNBUS" localSheetId="6">"$#REF!.$Y$69:$Y$70"</definedName>
    <definedName name="YNBUS" localSheetId="7">"$#REF!.$Y$69:$Y$70"</definedName>
    <definedName name="YNBUS">#REF!</definedName>
    <definedName name="yntaxi" localSheetId="8">"$#REF!.$N$60:$N$61"</definedName>
    <definedName name="yntaxi" localSheetId="4">'[1]PCV &lt;6'!$N$60:$N$61</definedName>
    <definedName name="yntaxi" localSheetId="5">"$#REF!.$N$60:$N$61"</definedName>
    <definedName name="yntaxi" localSheetId="6">"$#REF!.$N$60:$N$61"</definedName>
    <definedName name="yntaxi" localSheetId="7">"$#REF!.$N$60:$N$61"</definedName>
    <definedName name="yntaxi" localSheetId="3">'[2]PCV &lt;6'!$N$60:$N$61</definedName>
    <definedName name="yntaxi" localSheetId="2">'[1]PCV &lt;6'!$N$60:$N$61</definedName>
    <definedName name="yntaxi">#REF!</definedName>
    <definedName name="yntaxi1">#REF!</definedName>
    <definedName name="Zone_auto">"$#REF!.$Q$54:$Q$56"</definedName>
    <definedName name="zonebus" localSheetId="8">"$#REF!.$U$52:$W$52"</definedName>
    <definedName name="zonebus" localSheetId="5">"$#REF!.$U$52:$W$52"</definedName>
    <definedName name="zonebus" localSheetId="6">"$#REF!.$U$52:$W$52"</definedName>
    <definedName name="zonebus" localSheetId="7">"$#REF!.$U$52:$W$52"</definedName>
    <definedName name="zonebus">#REF!</definedName>
    <definedName name="zonegcv" localSheetId="8">#REF!</definedName>
    <definedName name="zonegcv" localSheetId="4">'[1]GCV Public'!$P$59:$P$61</definedName>
    <definedName name="zonegcv" localSheetId="5">#REF!</definedName>
    <definedName name="zonegcv" localSheetId="6">#REF!</definedName>
    <definedName name="zonegcv" localSheetId="7">#REF!</definedName>
    <definedName name="zonegcv" localSheetId="3">'[2]GCV Public'!$P$59:$P$61</definedName>
    <definedName name="zonegcv" localSheetId="2">'[1]GCV Public'!$P$59:$P$61</definedName>
    <definedName name="zonegcv">#REF!</definedName>
    <definedName name="zonetaxi" localSheetId="8">"$#REF!.$U$60:$W$60"</definedName>
    <definedName name="zonetaxi" localSheetId="5">"$#REF!.$U$60:$W$60"</definedName>
    <definedName name="zonetaxi" localSheetId="6">"$#REF!.$U$60:$W$60"</definedName>
    <definedName name="zonetaxi" localSheetId="7">"$#REF!.$U$60:$W$60"</definedName>
    <definedName name="zonetaxi">#REF!</definedName>
  </definedNames>
  <calcPr calcId="144525"/>
  <fileRecoveryPr autoRecover="0"/>
</workbook>
</file>

<file path=xl/calcChain.xml><?xml version="1.0" encoding="utf-8"?>
<calcChain xmlns="http://schemas.openxmlformats.org/spreadsheetml/2006/main">
  <c r="D9" i="3" l="1"/>
  <c r="AY94" i="3"/>
  <c r="AY95" i="3"/>
  <c r="F10" i="42"/>
  <c r="BD138" i="42"/>
  <c r="BD137" i="42"/>
  <c r="AT121" i="40"/>
  <c r="AT120" i="40"/>
  <c r="F11" i="40" s="1"/>
  <c r="B25" i="42" l="1"/>
  <c r="B27" i="42"/>
  <c r="D28" i="40"/>
  <c r="D26" i="40"/>
  <c r="AW94" i="3" l="1"/>
  <c r="AW93" i="3" l="1"/>
  <c r="D9" i="15"/>
  <c r="D12" i="17"/>
  <c r="D9" i="17"/>
  <c r="D12" i="37" l="1"/>
  <c r="D14" i="36"/>
  <c r="D10" i="36"/>
  <c r="B17" i="29"/>
  <c r="D8" i="29"/>
  <c r="B8" i="29"/>
  <c r="F9" i="28"/>
  <c r="D27" i="40" l="1"/>
  <c r="F14" i="40" l="1"/>
  <c r="B17" i="3" l="1"/>
  <c r="B21" i="3"/>
  <c r="B25" i="3"/>
  <c r="B23" i="3"/>
  <c r="AX97" i="40"/>
  <c r="AT117" i="40"/>
  <c r="AT116" i="40"/>
  <c r="F13" i="40" s="1"/>
  <c r="D19" i="40"/>
  <c r="D20" i="40" s="1"/>
  <c r="AX113" i="40"/>
  <c r="B20" i="40"/>
  <c r="B18" i="40"/>
  <c r="B11" i="40"/>
  <c r="B12" i="40"/>
  <c r="D29" i="40" l="1"/>
  <c r="D21" i="40"/>
  <c r="B28" i="42" l="1"/>
  <c r="B18" i="3"/>
  <c r="B26" i="3"/>
  <c r="B24" i="3"/>
  <c r="B19" i="3"/>
  <c r="B20" i="3" s="1"/>
  <c r="AV101" i="3"/>
  <c r="B19" i="29" l="1"/>
  <c r="D10" i="29"/>
  <c r="B10" i="29"/>
  <c r="B15" i="42" l="1"/>
  <c r="B14" i="42"/>
  <c r="B13" i="42"/>
  <c r="B12" i="42"/>
  <c r="BC116" i="28"/>
  <c r="B12" i="16"/>
  <c r="B12" i="15"/>
  <c r="B11" i="17"/>
  <c r="D9" i="28"/>
  <c r="B12" i="3"/>
  <c r="B22" i="42"/>
  <c r="D11" i="16"/>
  <c r="B11" i="15"/>
  <c r="B9" i="15"/>
  <c r="B10" i="15" s="1"/>
  <c r="D10" i="16" l="1"/>
  <c r="D11" i="15"/>
  <c r="D10" i="17"/>
  <c r="D11" i="38"/>
  <c r="D9" i="37"/>
  <c r="D11" i="36"/>
  <c r="F12" i="40"/>
  <c r="F12" i="42"/>
  <c r="F11" i="28"/>
  <c r="D10" i="3"/>
  <c r="Q72" i="17" l="1"/>
  <c r="P72" i="17"/>
  <c r="O72" i="17"/>
  <c r="B9" i="17" s="1"/>
  <c r="N72" i="17"/>
  <c r="M72" i="17"/>
  <c r="Q71" i="17" l="1"/>
  <c r="Q70" i="17"/>
  <c r="Q69" i="17"/>
  <c r="P71" i="17"/>
  <c r="P70" i="17"/>
  <c r="P69" i="17"/>
  <c r="O69" i="17"/>
  <c r="O70" i="17"/>
  <c r="O71" i="17"/>
  <c r="N71" i="17"/>
  <c r="N70" i="17"/>
  <c r="N69" i="17"/>
  <c r="M85" i="38" l="1"/>
  <c r="P66" i="38"/>
  <c r="P65" i="38"/>
  <c r="P64" i="38"/>
  <c r="R76" i="37" l="1"/>
  <c r="AY209" i="36" l="1"/>
  <c r="BS191" i="36"/>
  <c r="BP191" i="36" s="1"/>
  <c r="BL200" i="36"/>
  <c r="BJ200" i="36"/>
  <c r="BK204" i="36" s="1"/>
  <c r="BK205" i="36" s="1"/>
  <c r="BG93" i="3"/>
  <c r="BK203" i="36" l="1"/>
  <c r="F13" i="28"/>
  <c r="F12" i="28"/>
  <c r="E12" i="28"/>
  <c r="F10" i="28"/>
  <c r="E10" i="28"/>
  <c r="F11" i="42"/>
  <c r="F15" i="40" l="1"/>
  <c r="F13" i="42" l="1"/>
  <c r="AZ126" i="42" l="1"/>
  <c r="AY126" i="42"/>
  <c r="AW118" i="42"/>
  <c r="BC117" i="42"/>
  <c r="AW117" i="42"/>
  <c r="AW119" i="42" s="1"/>
  <c r="AW121" i="42" s="1"/>
  <c r="AZ97" i="42"/>
  <c r="BG96" i="42"/>
  <c r="AZ96" i="42"/>
  <c r="D19" i="42"/>
  <c r="D17" i="42"/>
  <c r="AW122" i="42" l="1"/>
  <c r="AW123" i="42"/>
  <c r="AW124" i="42" s="1"/>
  <c r="AW120" i="42"/>
  <c r="AW138" i="42" l="1"/>
  <c r="D14" i="42" s="1"/>
  <c r="BA119" i="42"/>
  <c r="BA117" i="42"/>
  <c r="AW126" i="42"/>
  <c r="D4" i="42"/>
  <c r="AX126" i="42"/>
  <c r="AY130" i="42" s="1"/>
  <c r="AW137" i="42"/>
  <c r="D12" i="42" s="1"/>
  <c r="BA118" i="42"/>
  <c r="B30" i="42" l="1"/>
  <c r="B32" i="42"/>
  <c r="B26" i="42"/>
  <c r="D13" i="42"/>
  <c r="AW130" i="42"/>
  <c r="AW134" i="42" s="1"/>
  <c r="D15" i="42"/>
  <c r="AW129" i="42"/>
  <c r="AY129" i="42"/>
  <c r="AW128" i="42"/>
  <c r="AY128" i="42"/>
  <c r="AW136" i="42"/>
  <c r="D11" i="42" s="1"/>
  <c r="BE123" i="42"/>
  <c r="BF123" i="42" s="1"/>
  <c r="BE122" i="42"/>
  <c r="BF122" i="42" s="1"/>
  <c r="BG122" i="42" s="1"/>
  <c r="BA144" i="42" l="1"/>
  <c r="BA145" i="42" s="1"/>
  <c r="B33" i="42" s="1"/>
  <c r="BA141" i="42"/>
  <c r="BA142" i="42" s="1"/>
  <c r="B31" i="42" s="1"/>
  <c r="AW132" i="42"/>
  <c r="B10" i="42" s="1"/>
  <c r="B11" i="42" s="1"/>
  <c r="AW133" i="42"/>
  <c r="BG123" i="42"/>
  <c r="D20" i="42"/>
  <c r="D10" i="42"/>
  <c r="B19" i="42" l="1"/>
  <c r="B16" i="42"/>
  <c r="B20" i="42"/>
  <c r="B18" i="42"/>
  <c r="B17" i="42"/>
  <c r="B21" i="42" l="1"/>
  <c r="B29" i="42" s="1"/>
  <c r="B34" i="42" l="1"/>
  <c r="B23" i="42"/>
  <c r="B18" i="38"/>
  <c r="B15" i="38"/>
  <c r="B18" i="37"/>
  <c r="B35" i="42" l="1"/>
  <c r="F14" i="42" s="1"/>
  <c r="F15" i="42" s="1"/>
  <c r="I13" i="42" s="1"/>
  <c r="B16" i="37"/>
  <c r="B14" i="37" l="1"/>
  <c r="B13" i="37"/>
  <c r="B10" i="37"/>
  <c r="B13" i="36" l="1"/>
  <c r="B12" i="36"/>
  <c r="B18" i="29"/>
  <c r="B20" i="29" s="1"/>
  <c r="B21" i="29" s="1"/>
  <c r="B15" i="36" l="1"/>
  <c r="B22" i="29"/>
  <c r="BA115" i="40" l="1"/>
  <c r="AZ115" i="40"/>
  <c r="AU114" i="40"/>
  <c r="AU113" i="40"/>
  <c r="AU112" i="40"/>
  <c r="AZ111" i="40"/>
  <c r="AZ118" i="40" s="1"/>
  <c r="AU111" i="40"/>
  <c r="AU110" i="40"/>
  <c r="AU107" i="40"/>
  <c r="AU106" i="40"/>
  <c r="AU105" i="40"/>
  <c r="AU104" i="40"/>
  <c r="AU103" i="40"/>
  <c r="BG95" i="40"/>
  <c r="AZ103" i="40" s="1"/>
  <c r="AQ105" i="40" s="1"/>
  <c r="H44" i="40"/>
  <c r="B19" i="40" s="1"/>
  <c r="D23" i="40"/>
  <c r="D25" i="40" s="1"/>
  <c r="D24" i="40" l="1"/>
  <c r="D10" i="40"/>
  <c r="D17" i="40"/>
  <c r="D18" i="40" s="1"/>
  <c r="AZ102" i="40"/>
  <c r="D13" i="40" l="1"/>
  <c r="D11" i="40"/>
  <c r="AQ104" i="40"/>
  <c r="AQ107" i="40" s="1"/>
  <c r="AQ108" i="40"/>
  <c r="D14" i="40"/>
  <c r="D12" i="40"/>
  <c r="D15" i="40" s="1"/>
  <c r="B13" i="40" l="1"/>
  <c r="B14" i="40" s="1"/>
  <c r="B17" i="40" s="1"/>
  <c r="B16" i="40" l="1"/>
  <c r="B15" i="40"/>
  <c r="D22" i="40" s="1"/>
  <c r="B22" i="40"/>
  <c r="D14" i="38"/>
  <c r="B21" i="40" l="1"/>
  <c r="D30" i="40" s="1"/>
  <c r="H45" i="40" l="1"/>
  <c r="B23" i="40"/>
  <c r="B24" i="40" s="1"/>
  <c r="D16" i="40" s="1"/>
  <c r="D31" i="40" s="1"/>
  <c r="F16" i="40" s="1"/>
  <c r="F17" i="40" s="1"/>
  <c r="H13" i="40" s="1"/>
  <c r="P63" i="36"/>
  <c r="B9" i="36" s="1"/>
  <c r="B10" i="36" s="1"/>
  <c r="B11" i="36" s="1"/>
  <c r="B14" i="36" s="1"/>
  <c r="B16" i="36" s="1"/>
  <c r="B17" i="36" s="1"/>
  <c r="O82" i="38"/>
  <c r="O81" i="38"/>
  <c r="O80" i="38"/>
  <c r="O78" i="38"/>
  <c r="O77" i="38"/>
  <c r="O76" i="38"/>
  <c r="O74" i="38"/>
  <c r="O73" i="38"/>
  <c r="O72" i="38"/>
  <c r="Q60" i="38"/>
  <c r="O60" i="38"/>
  <c r="L60" i="38"/>
  <c r="X51" i="38"/>
  <c r="K32" i="38"/>
  <c r="M32" i="38" s="1"/>
  <c r="D13" i="38"/>
  <c r="D12" i="38"/>
  <c r="B10" i="38"/>
  <c r="D4" i="38"/>
  <c r="BG269" i="37"/>
  <c r="Q91" i="37"/>
  <c r="B21" i="37" s="1"/>
  <c r="B22" i="37" s="1"/>
  <c r="Q90" i="37"/>
  <c r="S83" i="37"/>
  <c r="R83" i="37"/>
  <c r="Q64" i="37"/>
  <c r="AA62" i="37"/>
  <c r="T62" i="37"/>
  <c r="X51" i="37"/>
  <c r="U51" i="37" s="1"/>
  <c r="Q65" i="37" s="1"/>
  <c r="B8" i="37" s="1"/>
  <c r="K34" i="37"/>
  <c r="M34" i="37" s="1"/>
  <c r="B15" i="37"/>
  <c r="D11" i="37"/>
  <c r="D10" i="37"/>
  <c r="AZ217" i="36"/>
  <c r="AX225" i="36" s="1"/>
  <c r="AY217" i="36"/>
  <c r="Q91" i="36"/>
  <c r="Q90" i="36"/>
  <c r="S83" i="36"/>
  <c r="R83" i="36"/>
  <c r="P64" i="36"/>
  <c r="Q60" i="36"/>
  <c r="O60" i="36"/>
  <c r="X51" i="36"/>
  <c r="U51" i="36" s="1"/>
  <c r="K34" i="36"/>
  <c r="M34" i="36" s="1"/>
  <c r="D13" i="36"/>
  <c r="D12" i="36"/>
  <c r="B13" i="38" l="1"/>
  <c r="R87" i="38"/>
  <c r="R86" i="38"/>
  <c r="D10" i="38" s="1"/>
  <c r="D15" i="38" s="1"/>
  <c r="M67" i="38"/>
  <c r="M66" i="38"/>
  <c r="B11" i="38"/>
  <c r="B12" i="38" s="1"/>
  <c r="N76" i="38"/>
  <c r="B9" i="37"/>
  <c r="B11" i="37" s="1"/>
  <c r="B12" i="37" s="1"/>
  <c r="N72" i="38"/>
  <c r="N80" i="38"/>
  <c r="D15" i="36"/>
  <c r="AX224" i="36"/>
  <c r="B18" i="36" s="1"/>
  <c r="B19" i="36" s="1"/>
  <c r="D13" i="37"/>
  <c r="M68" i="38" l="1"/>
  <c r="P81" i="38" s="1"/>
  <c r="B21" i="38"/>
  <c r="B14" i="38"/>
  <c r="B16" i="38"/>
  <c r="B17" i="37"/>
  <c r="B20" i="36"/>
  <c r="P78" i="38" l="1"/>
  <c r="P80" i="38"/>
  <c r="M80" i="38" s="1"/>
  <c r="P74" i="38"/>
  <c r="P72" i="38"/>
  <c r="M72" i="38" s="1"/>
  <c r="P73" i="38"/>
  <c r="P77" i="38"/>
  <c r="P82" i="38"/>
  <c r="P76" i="38"/>
  <c r="M76" i="38" s="1"/>
  <c r="B17" i="38"/>
  <c r="B19" i="38" s="1"/>
  <c r="B20" i="38" s="1"/>
  <c r="B19" i="37"/>
  <c r="B20" i="37" s="1"/>
  <c r="L36" i="36"/>
  <c r="D16" i="36"/>
  <c r="D17" i="36" s="1"/>
  <c r="B22" i="38" l="1"/>
  <c r="B23" i="38" s="1"/>
  <c r="D17" i="38" s="1"/>
  <c r="L39" i="36"/>
  <c r="K40" i="36" s="1"/>
  <c r="K37" i="36"/>
  <c r="F12" i="36"/>
  <c r="G30" i="34" l="1"/>
  <c r="I30" i="34" s="1"/>
  <c r="F30" i="34"/>
  <c r="H30" i="34" s="1"/>
  <c r="G29" i="34"/>
  <c r="I29" i="34" s="1"/>
  <c r="F29" i="34"/>
  <c r="H29" i="34" s="1"/>
  <c r="G27" i="34"/>
  <c r="I27" i="34" s="1"/>
  <c r="F27" i="34"/>
  <c r="H27" i="34" s="1"/>
  <c r="G26" i="34"/>
  <c r="I26" i="34" s="1"/>
  <c r="F26" i="34"/>
  <c r="H26" i="34" s="1"/>
  <c r="G25" i="34"/>
  <c r="I25" i="34" s="1"/>
  <c r="F25" i="34"/>
  <c r="H25" i="34" s="1"/>
  <c r="F23" i="34"/>
  <c r="H23" i="34" s="1"/>
  <c r="F22" i="34"/>
  <c r="H22" i="34" s="1"/>
  <c r="F21" i="34"/>
  <c r="H21" i="34" s="1"/>
  <c r="F20" i="34"/>
  <c r="H20" i="34" s="1"/>
  <c r="F19" i="34"/>
  <c r="H19" i="34" s="1"/>
  <c r="F17" i="34"/>
  <c r="H17" i="34" s="1"/>
  <c r="F16" i="34"/>
  <c r="H16" i="34" s="1"/>
  <c r="F15" i="34"/>
  <c r="H15" i="34" s="1"/>
  <c r="F14" i="34"/>
  <c r="H14" i="34" s="1"/>
  <c r="F13" i="34"/>
  <c r="H13" i="34" s="1"/>
  <c r="F11" i="34"/>
  <c r="H11" i="34" s="1"/>
  <c r="F10" i="34"/>
  <c r="H10" i="34" s="1"/>
  <c r="F9" i="34"/>
  <c r="H9" i="34" s="1"/>
  <c r="F8" i="34"/>
  <c r="H8" i="34" s="1"/>
  <c r="F7" i="34"/>
  <c r="F6" i="34"/>
  <c r="H6" i="34" s="1"/>
  <c r="F5" i="34"/>
  <c r="H5" i="34" s="1"/>
  <c r="F4" i="34"/>
  <c r="H4" i="34" s="1"/>
  <c r="D3" i="23" l="1"/>
  <c r="B15" i="3" l="1"/>
  <c r="B16" i="3" s="1"/>
  <c r="BG92" i="29"/>
  <c r="AZ99" i="29" s="1"/>
  <c r="D9" i="29"/>
  <c r="D11" i="29" s="1"/>
  <c r="D12" i="29" s="1"/>
  <c r="B9" i="29"/>
  <c r="B11" i="29" s="1"/>
  <c r="B12" i="29" s="1"/>
  <c r="AZ125" i="28"/>
  <c r="AY125" i="28"/>
  <c r="AW117" i="28"/>
  <c r="AW116" i="28"/>
  <c r="AW118" i="28" s="1"/>
  <c r="AW120" i="28" s="1"/>
  <c r="AZ96" i="28"/>
  <c r="BG95" i="28"/>
  <c r="AZ95" i="28"/>
  <c r="F14" i="28" l="1"/>
  <c r="B13" i="29"/>
  <c r="D13" i="29"/>
  <c r="AZ100" i="29"/>
  <c r="AW122" i="28"/>
  <c r="AW123" i="28" s="1"/>
  <c r="AW121" i="28"/>
  <c r="AW119" i="28"/>
  <c r="AW136" i="28" l="1"/>
  <c r="D18" i="28" s="1"/>
  <c r="BA117" i="28"/>
  <c r="AW125" i="28"/>
  <c r="AW127" i="28" s="1"/>
  <c r="D4" i="28"/>
  <c r="AX125" i="28"/>
  <c r="AY127" i="28" s="1"/>
  <c r="AW131" i="28" s="1"/>
  <c r="B9" i="28" s="1"/>
  <c r="BA116" i="28"/>
  <c r="BA118" i="28"/>
  <c r="AW137" i="28"/>
  <c r="D20" i="28" s="1"/>
  <c r="AW129" i="28" l="1"/>
  <c r="B14" i="28"/>
  <c r="D11" i="28" s="1"/>
  <c r="AY129" i="28"/>
  <c r="AW133" i="28" s="1"/>
  <c r="B11" i="28" s="1"/>
  <c r="AY128" i="28"/>
  <c r="AW132" i="28" s="1"/>
  <c r="B10" i="28" s="1"/>
  <c r="AW128" i="28"/>
  <c r="BE122" i="28"/>
  <c r="BF122" i="28" s="1"/>
  <c r="BE121" i="28"/>
  <c r="BF121" i="28" s="1"/>
  <c r="BG121" i="28" s="1"/>
  <c r="B12" i="28" s="1"/>
  <c r="AW135" i="28"/>
  <c r="D17" i="28" s="1"/>
  <c r="D16" i="28" l="1"/>
  <c r="BG122" i="28"/>
  <c r="B13" i="28" s="1"/>
  <c r="B15" i="28" l="1"/>
  <c r="D12" i="28" s="1"/>
  <c r="D19" i="28"/>
  <c r="D21" i="28"/>
  <c r="B16" i="28"/>
  <c r="D13" i="28" s="1"/>
  <c r="D14" i="28" l="1"/>
  <c r="B17" i="28"/>
  <c r="D10" i="28" l="1"/>
  <c r="D11" i="17"/>
  <c r="X52" i="17"/>
  <c r="U52" i="17" s="1"/>
  <c r="O61" i="17"/>
  <c r="Q61" i="17"/>
  <c r="M69" i="17"/>
  <c r="M70" i="17"/>
  <c r="M71" i="17"/>
  <c r="B10" i="17" s="1"/>
  <c r="B15" i="17" s="1"/>
  <c r="B11" i="16"/>
  <c r="D12" i="16"/>
  <c r="B13" i="16"/>
  <c r="D13" i="16" s="1"/>
  <c r="X50" i="16"/>
  <c r="L59" i="16"/>
  <c r="O59" i="16"/>
  <c r="Q59" i="16"/>
  <c r="P63" i="16"/>
  <c r="P64" i="16"/>
  <c r="P65" i="16"/>
  <c r="D13" i="15"/>
  <c r="D12" i="15"/>
  <c r="B13" i="15"/>
  <c r="D14" i="15"/>
  <c r="B16" i="15"/>
  <c r="B18" i="15"/>
  <c r="B19" i="15" s="1"/>
  <c r="X50" i="15"/>
  <c r="L59" i="15"/>
  <c r="O59" i="15"/>
  <c r="Q59" i="15"/>
  <c r="P63" i="15"/>
  <c r="P64" i="15"/>
  <c r="P65" i="15"/>
  <c r="D5" i="23"/>
  <c r="D11" i="3"/>
  <c r="D12" i="3" s="1"/>
  <c r="AZ101" i="3"/>
  <c r="AZ102" i="3"/>
  <c r="AZ105" i="3" l="1"/>
  <c r="AZ103" i="3"/>
  <c r="AZ106" i="3" s="1"/>
  <c r="AZ104" i="3"/>
  <c r="B9" i="16"/>
  <c r="B10" i="16" s="1"/>
  <c r="B14" i="16" s="1"/>
  <c r="D14" i="16"/>
  <c r="D15" i="28"/>
  <c r="D6" i="23"/>
  <c r="D11" i="23" s="1"/>
  <c r="D13" i="23" s="1"/>
  <c r="B15" i="16"/>
  <c r="B12" i="17"/>
  <c r="D15" i="15"/>
  <c r="B14" i="15"/>
  <c r="B9" i="3" l="1"/>
  <c r="B10" i="3" s="1"/>
  <c r="B11" i="3" s="1"/>
  <c r="B13" i="3" s="1"/>
  <c r="B22" i="3" s="1"/>
  <c r="B27" i="3" s="1"/>
  <c r="D22" i="28"/>
  <c r="F15" i="28" s="1"/>
  <c r="B13" i="17"/>
  <c r="B16" i="16"/>
  <c r="B17" i="16" s="1"/>
  <c r="B18" i="16" s="1"/>
  <c r="B19" i="16" s="1"/>
  <c r="D15" i="16" s="1"/>
  <c r="D16" i="16" s="1"/>
  <c r="D14" i="23"/>
  <c r="B15" i="15"/>
  <c r="B17" i="15" s="1"/>
  <c r="B14" i="3" l="1"/>
  <c r="B28" i="3" s="1"/>
  <c r="D13" i="3" s="1"/>
  <c r="D14" i="3" s="1"/>
  <c r="F16" i="28"/>
  <c r="I12" i="28" s="1"/>
  <c r="B14" i="17"/>
  <c r="B20" i="15"/>
  <c r="B21" i="15" s="1"/>
  <c r="F13" i="16"/>
  <c r="F11" i="3" l="1"/>
  <c r="D16" i="15"/>
  <c r="D17" i="15"/>
  <c r="D13" i="17"/>
  <c r="D14" i="17" s="1"/>
  <c r="B16" i="17"/>
  <c r="B17" i="17" s="1"/>
  <c r="B18" i="17" s="1"/>
  <c r="F13" i="15" l="1"/>
  <c r="D15" i="17"/>
  <c r="D16" i="17" s="1"/>
  <c r="F12" i="17" s="1"/>
  <c r="L34" i="38" l="1"/>
  <c r="D16" i="38"/>
  <c r="F14" i="38" l="1"/>
  <c r="K35" i="38"/>
  <c r="L37" i="38"/>
  <c r="K38" i="38" s="1"/>
  <c r="B23" i="37" l="1"/>
  <c r="D14" i="37" l="1"/>
  <c r="L36" i="37"/>
  <c r="D15" i="37" l="1"/>
  <c r="F11" i="37" s="1"/>
  <c r="K37" i="37"/>
  <c r="L39" i="37"/>
  <c r="K40" i="37" s="1"/>
</calcChain>
</file>

<file path=xl/comments1.xml><?xml version="1.0" encoding="utf-8"?>
<comments xmlns="http://schemas.openxmlformats.org/spreadsheetml/2006/main">
  <authors>
    <author/>
  </authors>
  <commentList>
    <comment ref="F5" authorId="0">
      <text>
        <r>
          <rPr>
            <sz val="8"/>
            <color indexed="8"/>
            <rFont val="Tahoma"/>
            <family val="2"/>
          </rPr>
          <t xml:space="preserve">If PA for passengers is covered for 2 Lakhs, Double the number of passengers and fill the cell
</t>
        </r>
      </text>
    </comment>
    <comment ref="D6" authorId="0">
      <text>
        <r>
          <rPr>
            <b/>
            <sz val="9"/>
            <color indexed="8"/>
            <rFont val="Tahoma"/>
            <family val="2"/>
          </rPr>
          <t xml:space="preserve">If you would like to enter a value, Please confirm that cell B6 is Selected as "NO" </t>
        </r>
      </text>
    </comment>
  </commentList>
</comments>
</file>

<file path=xl/comments2.xml><?xml version="1.0" encoding="utf-8"?>
<comments xmlns="http://schemas.openxmlformats.org/spreadsheetml/2006/main">
  <authors>
    <author/>
  </authors>
  <commentList>
    <comment ref="D5" authorId="0">
      <text>
        <r>
          <rPr>
            <b/>
            <sz val="8"/>
            <color indexed="8"/>
            <rFont val="Tahoma"/>
            <family val="2"/>
          </rPr>
          <t>How to Select the Type of Cover: 
If IMT-23 is not required - Only Cover B is available for selection.
If IMT-23 is required - Only Cover A and C are available for selection.</t>
        </r>
      </text>
    </comment>
  </commentList>
</comments>
</file>

<file path=xl/sharedStrings.xml><?xml version="1.0" encoding="utf-8"?>
<sst xmlns="http://schemas.openxmlformats.org/spreadsheetml/2006/main" count="1842" uniqueCount="659">
  <si>
    <t>Two Wheeler Enhancement</t>
  </si>
  <si>
    <t>GCV Public</t>
  </si>
  <si>
    <t>GCV Private</t>
  </si>
  <si>
    <t>Passenger Carrying Vehicle &gt;6</t>
  </si>
  <si>
    <t>TWO WHEELERS PREMIUM CALCULATOR</t>
  </si>
  <si>
    <t>Motor Home Page</t>
  </si>
  <si>
    <t>IDV (In Rs.)</t>
  </si>
  <si>
    <t>Discount (in %)</t>
  </si>
  <si>
    <t>Value of Elec / Non Elec Fittings (In Rs.)</t>
  </si>
  <si>
    <t xml:space="preserve">Desgined By: </t>
  </si>
  <si>
    <t>Zone</t>
  </si>
  <si>
    <t>Zone B</t>
  </si>
  <si>
    <t>NCB</t>
  </si>
  <si>
    <t>PA For Owner / Driver required?</t>
  </si>
  <si>
    <t>Yes</t>
  </si>
  <si>
    <t>Prashanth Komarraju</t>
  </si>
  <si>
    <t>Age of the Vehicle</t>
  </si>
  <si>
    <t>&lt;5</t>
  </si>
  <si>
    <t>Cubic Capacity</t>
  </si>
  <si>
    <t>76-150</t>
  </si>
  <si>
    <t>No. Of Pillion Riders If required</t>
  </si>
  <si>
    <t>Own Damage Section</t>
  </si>
  <si>
    <t>Liability Section</t>
  </si>
  <si>
    <t>Rate</t>
  </si>
  <si>
    <t>Third Party Premium</t>
  </si>
  <si>
    <t xml:space="preserve">Basic OD </t>
  </si>
  <si>
    <t>Premium For Owner/Driver</t>
  </si>
  <si>
    <t>Premium For Elec / Non Elec  Fittings</t>
  </si>
  <si>
    <t>Pillion Rider Premium</t>
  </si>
  <si>
    <t>Total Premium</t>
  </si>
  <si>
    <t>Discount Amount</t>
  </si>
  <si>
    <t>Total TP Premium</t>
  </si>
  <si>
    <t>Net OD Premium</t>
  </si>
  <si>
    <t>Gross Premium</t>
  </si>
  <si>
    <t>Service Tax</t>
  </si>
  <si>
    <t>Total OD Premium</t>
  </si>
  <si>
    <t>`</t>
  </si>
  <si>
    <t>ZONE A</t>
  </si>
  <si>
    <t>Rate Code</t>
  </si>
  <si>
    <t>3ZONES</t>
  </si>
  <si>
    <t>2ZONES</t>
  </si>
  <si>
    <t>CC</t>
  </si>
  <si>
    <t>binary</t>
  </si>
  <si>
    <t>&gt;75</t>
  </si>
  <si>
    <t>151-350</t>
  </si>
  <si>
    <t>&gt;350</t>
  </si>
  <si>
    <t>Zone A</t>
  </si>
  <si>
    <t>&lt;75</t>
  </si>
  <si>
    <t xml:space="preserve">Zone B </t>
  </si>
  <si>
    <t>ZONE B</t>
  </si>
  <si>
    <t>No</t>
  </si>
  <si>
    <t>5 to 10</t>
  </si>
  <si>
    <t>ZONE C</t>
  </si>
  <si>
    <t>&gt;10</t>
  </si>
  <si>
    <t>Age</t>
  </si>
  <si>
    <t>of</t>
  </si>
  <si>
    <t>the</t>
  </si>
  <si>
    <t xml:space="preserve"> </t>
  </si>
  <si>
    <t>vehicle</t>
  </si>
  <si>
    <t>CUBIC    CAPACITY</t>
  </si>
  <si>
    <t xml:space="preserve">Not exceed  -ing </t>
  </si>
  <si>
    <t xml:space="preserve">Exceed  -ing 150c but not exceed  -ing 350 cc </t>
  </si>
  <si>
    <t>Exceeed-ing 350 cc</t>
  </si>
  <si>
    <t xml:space="preserve">150 cc </t>
  </si>
  <si>
    <t>Not exceeding 5 Years</t>
  </si>
  <si>
    <t>1.676 % on IDV</t>
  </si>
  <si>
    <t>1.760 % on IDV</t>
  </si>
  <si>
    <t>1.844 % on IDV</t>
  </si>
  <si>
    <t>1.708 % on IDV</t>
  </si>
  <si>
    <t>1.793 % on IDV</t>
  </si>
  <si>
    <t>1.879 % on IDV</t>
  </si>
  <si>
    <t>5 years</t>
  </si>
  <si>
    <t>Exceeding 5 years but not exceeding 10 years</t>
  </si>
  <si>
    <t>1.848 % on IDV</t>
  </si>
  <si>
    <t>1.936 % on IDV</t>
  </si>
  <si>
    <t>1.883 % on IDV</t>
  </si>
  <si>
    <t>1.973 % on IDV</t>
  </si>
  <si>
    <t>Exceeding  10 years</t>
  </si>
  <si>
    <t>1.802 % on IDV</t>
  </si>
  <si>
    <t>1.892 % on IDV</t>
  </si>
  <si>
    <t>1.982 % on IDV</t>
  </si>
  <si>
    <t>1.836 % on IDV</t>
  </si>
  <si>
    <t>1.928 % on IDV</t>
  </si>
  <si>
    <t>2.020 % on IDV</t>
  </si>
  <si>
    <t>Brand New Car Upto 1 Year</t>
  </si>
  <si>
    <t>Enhancement Rate</t>
  </si>
  <si>
    <t>Enhancement Premium</t>
  </si>
  <si>
    <t>AgebandTW_ENH</t>
  </si>
  <si>
    <t>1 Years after Date of Registration</t>
  </si>
  <si>
    <t>2 Years after Date of Registration</t>
  </si>
  <si>
    <t>4 Years after Date of Registration</t>
  </si>
  <si>
    <t>&lt;1000</t>
  </si>
  <si>
    <t>TP Premium for CNG/LPG</t>
  </si>
  <si>
    <t>1001-1500</t>
  </si>
  <si>
    <t>&gt;1500</t>
  </si>
  <si>
    <t>PRIVATE CAR</t>
  </si>
  <si>
    <t>OWN DAMAGE :-</t>
  </si>
  <si>
    <t>Age of Vehicle</t>
  </si>
  <si>
    <t>Not exceed  -ing 1000 cc</t>
  </si>
  <si>
    <t xml:space="preserve">Exceed  -ing 1000cc but not exceed  -ing 1500 cc </t>
  </si>
  <si>
    <t>Exceeed-ing 1500 cc</t>
  </si>
  <si>
    <t>Exceeding 1000cc but not exceed  -ing 1500 cc</t>
  </si>
  <si>
    <t>Exceeding 1500 cc</t>
  </si>
  <si>
    <t>Not exceeding 5 years</t>
  </si>
  <si>
    <t>3.039 % on IDV</t>
  </si>
  <si>
    <t>3.191 % on IDV</t>
  </si>
  <si>
    <t>3.343 % on IDV</t>
  </si>
  <si>
    <t>3.127 % on IDV</t>
  </si>
  <si>
    <t>3.283 % on IDV</t>
  </si>
  <si>
    <t>3.440 % on IDV</t>
  </si>
  <si>
    <t>3.351 % on IDV</t>
  </si>
  <si>
    <t>3.510 % on IDV</t>
  </si>
  <si>
    <t>3.447 % on IDV</t>
  </si>
  <si>
    <t>3.612 % on IDV</t>
  </si>
  <si>
    <t>3.267 % on IDV</t>
  </si>
  <si>
    <t>3.430 % on IDV</t>
  </si>
  <si>
    <t>3.594 % on IDV</t>
  </si>
  <si>
    <t>3.362 % on IDV</t>
  </si>
  <si>
    <t>3.529 % on IDV</t>
  </si>
  <si>
    <t>3.698 % on IDV</t>
  </si>
  <si>
    <t xml:space="preserve"> PREMIUM FOR LIABILITY ONLY COVER :_</t>
  </si>
  <si>
    <t>Cubic Capacity of the vehicle</t>
  </si>
  <si>
    <t xml:space="preserve">Premium </t>
  </si>
  <si>
    <t>Not exceeding 1000 cc</t>
  </si>
  <si>
    <t>Exceeding 1000cc but not exceeding 1500 cc</t>
  </si>
  <si>
    <t>Exceeding  1500 cc</t>
  </si>
  <si>
    <t>VOLUNTARY DEDUCTIBLE :-</t>
  </si>
  <si>
    <t xml:space="preserve">VOLUNTARY  DEDUCTIBLE </t>
  </si>
  <si>
    <t>Rs. 2500</t>
  </si>
  <si>
    <t>20% on the OD premium of the vehicle, subject to a maximum of Rs. 750/-</t>
  </si>
  <si>
    <t>Rs. 5000</t>
  </si>
  <si>
    <t>25% on the OD premium of the vehicle, subject to a maximum of Rs. 1500/-</t>
  </si>
  <si>
    <t>Rs. 7500</t>
  </si>
  <si>
    <t>30% on the OD premium of the vehicle, subject to a maximum of Rs. 2000/-</t>
  </si>
  <si>
    <t>Rs. 15000</t>
  </si>
  <si>
    <t>35% on the OD premium of the vehicle, subject to a maximum of Rs. 2500/-</t>
  </si>
  <si>
    <t>Paid Driver or Any Rs. 50 Parameter</t>
  </si>
  <si>
    <t>Carrying Capacity Premium</t>
  </si>
  <si>
    <t>Post NCB Amount</t>
  </si>
  <si>
    <t>Enh Rate Code</t>
  </si>
  <si>
    <t>enh Rate</t>
  </si>
  <si>
    <t>agepc_enh</t>
  </si>
  <si>
    <t>Upto 1500 CC</t>
  </si>
  <si>
    <t>Brand New Car upto one year of age</t>
  </si>
  <si>
    <t>&gt;1500 cc</t>
  </si>
  <si>
    <t>Passenger Carrying Vehicle &lt;6 Premium calculator</t>
  </si>
  <si>
    <t>1000-1500</t>
  </si>
  <si>
    <t>Value(In Rs.) of the Electrical/ Non Electrical Fittings</t>
  </si>
  <si>
    <t xml:space="preserve">Zone </t>
  </si>
  <si>
    <t>Discount (In %)</t>
  </si>
  <si>
    <t>PA Owner/ Driver</t>
  </si>
  <si>
    <t>Age Of the Vehicle</t>
  </si>
  <si>
    <t xml:space="preserve">IMT 23 Required? </t>
  </si>
  <si>
    <t>No. Of  Paid Drivers(Any Rs.50 Parameter)</t>
  </si>
  <si>
    <t>NCB (in %)</t>
  </si>
  <si>
    <t>OD Premium</t>
  </si>
  <si>
    <t>Liability Premium</t>
  </si>
  <si>
    <t>Basic OD</t>
  </si>
  <si>
    <t>Basic TP Premium</t>
  </si>
  <si>
    <t>Electrical/Electronic Fittings Premium</t>
  </si>
  <si>
    <t>Compulsory Owner/Driver</t>
  </si>
  <si>
    <t>Bi-fuel System Premium</t>
  </si>
  <si>
    <t>Paid Drivers / Any Rs.50 Parameter</t>
  </si>
  <si>
    <t xml:space="preserve">Total Premium </t>
  </si>
  <si>
    <t>Carrying Capacity</t>
  </si>
  <si>
    <t>Post-Discount Amount</t>
  </si>
  <si>
    <t>Total Liability Premium</t>
  </si>
  <si>
    <t>IMT -23</t>
  </si>
  <si>
    <t>Post IMT - 23 Amount</t>
  </si>
  <si>
    <t xml:space="preserve">Service Tax </t>
  </si>
  <si>
    <t>5 to 7</t>
  </si>
  <si>
    <t>Binary Code</t>
  </si>
  <si>
    <t>Year Code</t>
  </si>
  <si>
    <t>Zone code</t>
  </si>
  <si>
    <t>cc code</t>
  </si>
  <si>
    <t>ZONE B &lt; 6 PASSENGERS RATING</t>
  </si>
  <si>
    <t>Not Exceeding 5 years</t>
  </si>
  <si>
    <t>3.191  % on IDV</t>
  </si>
  <si>
    <t>3.284 % on IDV</t>
  </si>
  <si>
    <t>3.448 % on IDV</t>
  </si>
  <si>
    <t>Exceeding 5 years but not exceeding 7 years</t>
  </si>
  <si>
    <t>3.271 % on IDV</t>
  </si>
  <si>
    <t>3.435 % on IDV</t>
  </si>
  <si>
    <t>3.598 % on IDV</t>
  </si>
  <si>
    <t>3.366 % on IDV</t>
  </si>
  <si>
    <t>3.534 % on IDV</t>
  </si>
  <si>
    <t>3.703 % on IDV</t>
  </si>
  <si>
    <t>Exceeding  7 years</t>
  </si>
  <si>
    <t>3.519 % on IDV</t>
  </si>
  <si>
    <t>3.686 % on IDV</t>
  </si>
  <si>
    <t>3.620 % on IDV</t>
  </si>
  <si>
    <t>3.793 % on IDV</t>
  </si>
  <si>
    <t>zone a</t>
  </si>
  <si>
    <t>zone b</t>
  </si>
  <si>
    <t>ZONE A &lt;6 PASSENGERS RATING</t>
  </si>
  <si>
    <t>&gt;7</t>
  </si>
  <si>
    <t>Type of Enhancement Cover</t>
  </si>
  <si>
    <t>A</t>
  </si>
  <si>
    <t>Post NCB Premium</t>
  </si>
  <si>
    <t>Enhancement Rate(%)</t>
  </si>
  <si>
    <t xml:space="preserve">Rate Coding </t>
  </si>
  <si>
    <t>Brand New Vehicle</t>
  </si>
  <si>
    <t>3 Years after Date of Registration</t>
  </si>
  <si>
    <t>CC CHECK</t>
  </si>
  <si>
    <t>AGE CHECK</t>
  </si>
  <si>
    <t>&lt;=1</t>
  </si>
  <si>
    <t>&gt;1&lt;=2</t>
  </si>
  <si>
    <t>&gt;2&lt;=3</t>
  </si>
  <si>
    <t>&gt;3&lt;=4</t>
  </si>
  <si>
    <t>&gt;4&lt;=5</t>
  </si>
  <si>
    <t>&lt;=1500</t>
  </si>
  <si>
    <t>Value (In Rs.) of Bi-fuel System</t>
  </si>
  <si>
    <t>IMT 44(Indemnity to hirers) Required?</t>
  </si>
  <si>
    <t>Zone C</t>
  </si>
  <si>
    <t>Value(In Rs.)of the Electrical/ Non Electrical Fittings</t>
  </si>
  <si>
    <t>#Motor Home Page</t>
  </si>
  <si>
    <t>Basic OD 1</t>
  </si>
  <si>
    <t>Basic OD 2</t>
  </si>
  <si>
    <t>Total Basic OD</t>
  </si>
  <si>
    <t>Paid Drivers / Any Rs. 50 Parameter</t>
  </si>
  <si>
    <t>IMT 44 Premium</t>
  </si>
  <si>
    <t>Electrical &amp; Electronic Fittings Premium</t>
  </si>
  <si>
    <t xml:space="preserve">Rs 350 + 1.656 % on IDV </t>
  </si>
  <si>
    <t>Rs 450 + 1.656 % on IDV</t>
  </si>
  <si>
    <t>Rs 550 + 1.656 % on IDV</t>
  </si>
  <si>
    <t xml:space="preserve">Rs 680 </t>
  </si>
  <si>
    <t xml:space="preserve">Rs 350 + 1.672 % on IDV </t>
  </si>
  <si>
    <t>Rs 450 + 1.672 % on IDV</t>
  </si>
  <si>
    <t>Rs 550 + 1.672 % on IDV</t>
  </si>
  <si>
    <t xml:space="preserve">Rs 350 + 1.680 % on IDV </t>
  </si>
  <si>
    <t>Rs 450 + 1.680 % on IDV</t>
  </si>
  <si>
    <t>Rs 550 + 1.680 % on IDV</t>
  </si>
  <si>
    <t>Not exceeding</t>
  </si>
  <si>
    <t>+ 1.656 % on IDV</t>
  </si>
  <si>
    <t>+ 1.672 % on IDV</t>
  </si>
  <si>
    <t>+ 1.680 % on IDV</t>
  </si>
  <si>
    <t xml:space="preserve">Rs 350 + 1.697 % on IDV </t>
  </si>
  <si>
    <t>Rs 450 + 1.697 % on IDV</t>
  </si>
  <si>
    <t>Rs 550 + 1.697 % on IDV</t>
  </si>
  <si>
    <t xml:space="preserve">Rs 350 + 1.714 % on IDV </t>
  </si>
  <si>
    <t>Rs 450 + 1.714 % on IDV</t>
  </si>
  <si>
    <t>Rs 550 + 1.714 % on IDV</t>
  </si>
  <si>
    <t xml:space="preserve">Rs 350 + 1.722 % on IDV </t>
  </si>
  <si>
    <t>Rs 450 + 1.722 % on IDV</t>
  </si>
  <si>
    <t>Rs 550 + 1.722 % on IDV</t>
  </si>
  <si>
    <t>+ 1.697 % on IDV</t>
  </si>
  <si>
    <t>+ 1.714 % on IDV</t>
  </si>
  <si>
    <t>+ 1.722 % on IDV</t>
  </si>
  <si>
    <t xml:space="preserve">Rs 350 + 1.739 % on IDV </t>
  </si>
  <si>
    <t>Rs 450 + 1.739 % on IDV</t>
  </si>
  <si>
    <t>Rs 550 + 1.739 % on IDV</t>
  </si>
  <si>
    <t xml:space="preserve">Rs 350 + 1.756 % on IDV </t>
  </si>
  <si>
    <t>Rs 450 + 1.756 % on IDV</t>
  </si>
  <si>
    <t>Rs 550 + 1.756 % on IDV</t>
  </si>
  <si>
    <t xml:space="preserve">Rs 350 + 1.764 % on IDV </t>
  </si>
  <si>
    <t>Rs 450 + 1.764 % on IDV</t>
  </si>
  <si>
    <t>Rs 550 + 1.764 % on IDV</t>
  </si>
  <si>
    <t>+ 1.739 % on IDV</t>
  </si>
  <si>
    <t>+ 1.756 % on IDV</t>
  </si>
  <si>
    <t>+ 1.764 % on IDV</t>
  </si>
  <si>
    <t>Gross Vehicle Weight (In KGs)</t>
  </si>
  <si>
    <t>Value (In Rs.) of the Electrical/ Non Electrical Fittings</t>
  </si>
  <si>
    <t>No.Of NFPP</t>
  </si>
  <si>
    <t>GVW Premium</t>
  </si>
  <si>
    <t>Paid Drivers / Cleaners/ Any Rs.50 Parameter</t>
  </si>
  <si>
    <t>Total Basic OD Premium</t>
  </si>
  <si>
    <t>Electrical &amp; Electronic Fittings</t>
  </si>
  <si>
    <t>NFPP Premium</t>
  </si>
  <si>
    <t>Bi-fuel system Premium</t>
  </si>
  <si>
    <t>Post Discount Amount</t>
  </si>
  <si>
    <t>Post IMT - 23 Premium</t>
  </si>
  <si>
    <t>NCB Amount</t>
  </si>
  <si>
    <t>&lt;7500</t>
  </si>
  <si>
    <t>7501-12000</t>
  </si>
  <si>
    <t>12001-20000</t>
  </si>
  <si>
    <t>20001-40000</t>
  </si>
  <si>
    <t>Age of the vehicle</t>
  </si>
  <si>
    <t>Zone - C</t>
  </si>
  <si>
    <t>Zone - B</t>
  </si>
  <si>
    <t>Zone - A</t>
  </si>
  <si>
    <t>&gt;40000</t>
  </si>
  <si>
    <t xml:space="preserve">Not exceeding  5 years </t>
  </si>
  <si>
    <t xml:space="preserve">Exceeding 5 years and not exceeding 7 years  </t>
  </si>
  <si>
    <t xml:space="preserve">Exceeding 7 years </t>
  </si>
  <si>
    <t>GVW Code</t>
  </si>
  <si>
    <t>Year code</t>
  </si>
  <si>
    <t>zone c</t>
  </si>
  <si>
    <t>Goods Carrying Vehicle Zero Dep Premium Calculator</t>
  </si>
  <si>
    <t>C</t>
  </si>
  <si>
    <t>Enhancement Rate(in %)</t>
  </si>
  <si>
    <t>Premium</t>
  </si>
  <si>
    <t>GVW</t>
  </si>
  <si>
    <t>Cover</t>
  </si>
  <si>
    <t>0-25000</t>
  </si>
  <si>
    <t>B</t>
  </si>
  <si>
    <t>25K -40K</t>
  </si>
  <si>
    <t>&gt;40K</t>
  </si>
  <si>
    <t>Value (In Rs.) for Bi-fuel System</t>
  </si>
  <si>
    <t>Zone -C</t>
  </si>
  <si>
    <t>Zone – B</t>
  </si>
  <si>
    <t>Exceeding 7 years</t>
  </si>
  <si>
    <t>Vehicle IDV (In Rs.)</t>
  </si>
  <si>
    <t>Trailer IDV</t>
  </si>
  <si>
    <t>TP Prem for Trailer Attached</t>
  </si>
  <si>
    <t>TP Prem For Bi-Fuel System</t>
  </si>
  <si>
    <t>Trailer Rate</t>
  </si>
  <si>
    <t>Premium For Trailer</t>
  </si>
  <si>
    <t>Miscellaneous Vehicles Premium Calculator</t>
  </si>
  <si>
    <t>Over Turning Required?</t>
  </si>
  <si>
    <t>Over Turning Premium</t>
  </si>
  <si>
    <t>TARIFF</t>
  </si>
  <si>
    <t>MISCELLANEOUS &amp; SPECIAL TYPES OF VEHICLES</t>
  </si>
  <si>
    <t>(CLASS  D)</t>
  </si>
  <si>
    <r>
      <t>Age of the vehicle</t>
    </r>
    <r>
      <rPr>
        <sz val="12"/>
        <rFont val="Times New Roman"/>
        <family val="1"/>
      </rPr>
      <t xml:space="preserve"> </t>
    </r>
  </si>
  <si>
    <t xml:space="preserve">Not exceeding 5 years   </t>
  </si>
  <si>
    <t xml:space="preserve">Exceeding 5 years but not exceeding 7 years   </t>
  </si>
  <si>
    <t xml:space="preserve">Exceeding 7 years  </t>
  </si>
  <si>
    <t>LIABILITY :-</t>
  </si>
  <si>
    <t>‘Liability Only’ Premium</t>
  </si>
  <si>
    <t>Rs. 400/-</t>
  </si>
  <si>
    <t>Rs.800/-</t>
  </si>
  <si>
    <t>Rs. 375/-</t>
  </si>
  <si>
    <t>NOTE :-</t>
  </si>
  <si>
    <r>
      <t>NB.3:Mobile Units: Endorsement IMT 47</t>
    </r>
    <r>
      <rPr>
        <sz val="12"/>
        <rFont val="Times New Roman"/>
        <family val="1"/>
      </rPr>
      <t xml:space="preserve"> is to be used in respect of the following mobile units:</t>
    </r>
  </si>
  <si>
    <t>(a) Mobile Cranes</t>
  </si>
  <si>
    <t>(b) Mechanical Navies, Shovels, Grabs, Rippers and Excavators</t>
  </si>
  <si>
    <t>(c) Dragline Excavators,</t>
  </si>
  <si>
    <t xml:space="preserve">(d) Mobile Drilling Rigs  </t>
  </si>
  <si>
    <t>(e) Mobile Plant</t>
  </si>
  <si>
    <t>Package policies issued to the above units can be extended to cover damage to the unit by  overturning during operational use as a tool of trade at an additional rate of 0.5% of IDV of the vehicle subject to a minimum additional premium of Rs.100/-.</t>
  </si>
  <si>
    <t>z</t>
  </si>
  <si>
    <t xml:space="preserve">Value(In Rs.) of the Electrical/ Non Electrical Fittings/Bi-fuel System </t>
  </si>
  <si>
    <t>Electrical/Electronic Fittings/Bi-fuel System Premium</t>
  </si>
  <si>
    <t>Zone c</t>
  </si>
  <si>
    <t>NCB RECOVERY DURING TRANSFER OF OWNERSHIP</t>
  </si>
  <si>
    <t xml:space="preserve">Carrying Capacity </t>
  </si>
  <si>
    <t>1 Years after Date of Purchase</t>
  </si>
  <si>
    <t>2 Years after Date of Purchase</t>
  </si>
  <si>
    <t>3 Years after Date of Purchase</t>
  </si>
  <si>
    <t>4 Years after Date of Purchase</t>
  </si>
  <si>
    <t>IDV For the Current Year (In Rs.)</t>
  </si>
  <si>
    <t>Vehicle Age Slab (in Years)</t>
  </si>
  <si>
    <t>Rate for the Current Year</t>
  </si>
  <si>
    <r>
      <t>Rate for 2</t>
    </r>
    <r>
      <rPr>
        <vertAlign val="superscript"/>
        <sz val="11"/>
        <color indexed="8"/>
        <rFont val="Rockwell"/>
        <family val="1"/>
      </rPr>
      <t>nd</t>
    </r>
    <r>
      <rPr>
        <sz val="11"/>
        <color indexed="8"/>
        <rFont val="Rockwell"/>
        <family val="1"/>
      </rPr>
      <t xml:space="preserve"> Year </t>
    </r>
  </si>
  <si>
    <r>
      <t>Basic OD for 2</t>
    </r>
    <r>
      <rPr>
        <vertAlign val="superscript"/>
        <sz val="11"/>
        <color indexed="8"/>
        <rFont val="Rockwell"/>
        <family val="1"/>
      </rPr>
      <t>nd</t>
    </r>
    <r>
      <rPr>
        <sz val="11"/>
        <color indexed="8"/>
        <rFont val="Rockwell"/>
        <family val="1"/>
      </rPr>
      <t xml:space="preserve"> Year</t>
    </r>
  </si>
  <si>
    <r>
      <t>Rate for 3</t>
    </r>
    <r>
      <rPr>
        <vertAlign val="superscript"/>
        <sz val="11"/>
        <color indexed="8"/>
        <rFont val="Rockwell"/>
        <family val="1"/>
      </rPr>
      <t>rd</t>
    </r>
    <r>
      <rPr>
        <sz val="11"/>
        <color indexed="8"/>
        <rFont val="Rockwell"/>
        <family val="1"/>
      </rPr>
      <t xml:space="preserve"> Year </t>
    </r>
  </si>
  <si>
    <r>
      <t>Basic OD for 3</t>
    </r>
    <r>
      <rPr>
        <vertAlign val="superscript"/>
        <sz val="11"/>
        <color indexed="8"/>
        <rFont val="Rockwell"/>
        <family val="1"/>
      </rPr>
      <t>rd</t>
    </r>
    <r>
      <rPr>
        <sz val="11"/>
        <color indexed="8"/>
        <rFont val="Rockwell"/>
        <family val="1"/>
      </rPr>
      <t xml:space="preserve"> Year</t>
    </r>
  </si>
  <si>
    <r>
      <t>IDV For the 2</t>
    </r>
    <r>
      <rPr>
        <vertAlign val="superscript"/>
        <sz val="11"/>
        <color indexed="8"/>
        <rFont val="Rockwell"/>
        <family val="1"/>
      </rPr>
      <t>nd</t>
    </r>
    <r>
      <rPr>
        <sz val="11"/>
        <color indexed="8"/>
        <rFont val="Rockwell"/>
        <family val="1"/>
      </rPr>
      <t xml:space="preserve"> Year (In Rs.)</t>
    </r>
  </si>
  <si>
    <t>Brand New (0-12 Months)</t>
  </si>
  <si>
    <t>Zone A CY</t>
  </si>
  <si>
    <t>1 Year after Date of Purchase (12-24 Months)</t>
  </si>
  <si>
    <t>Zone A 2_Pack</t>
  </si>
  <si>
    <t>2 Years after Date of Purchase (24-36 Months)</t>
  </si>
  <si>
    <t>Zone A 3_Pack</t>
  </si>
  <si>
    <t>3 Years after Date of Purchase (36-48 Months)</t>
  </si>
  <si>
    <t xml:space="preserve">Zone B_CY </t>
  </si>
  <si>
    <t>4 Years after Date of Purchase (48-60 Months)</t>
  </si>
  <si>
    <t>Zone B 2_Pack</t>
  </si>
  <si>
    <t>5 Years after Date of Purchase (60-72 Months)</t>
  </si>
  <si>
    <t>Zone B 3_Pack</t>
  </si>
  <si>
    <t>Age Slab current year</t>
  </si>
  <si>
    <t>Purchase Date</t>
  </si>
  <si>
    <t>CURRENT</t>
  </si>
  <si>
    <t>Age of Vehicle In Months</t>
  </si>
  <si>
    <t>Age of the vehicle in Days</t>
  </si>
  <si>
    <t>Age slab</t>
  </si>
  <si>
    <t>Age of Vehicle in Days</t>
  </si>
  <si>
    <t>Rate for 2nd Year</t>
  </si>
  <si>
    <t>Rate for 3rdYear</t>
  </si>
  <si>
    <t>Zone A &lt;6</t>
  </si>
  <si>
    <t>Zone B &lt;6</t>
  </si>
  <si>
    <t>Zone A &gt;6</t>
  </si>
  <si>
    <t>Zone B &gt;6</t>
  </si>
  <si>
    <t>&gt;0</t>
  </si>
  <si>
    <t xml:space="preserve">Rate For Current Year </t>
  </si>
  <si>
    <t>&gt;1</t>
  </si>
  <si>
    <t>&gt;2</t>
  </si>
  <si>
    <t>&gt;3</t>
  </si>
  <si>
    <t>&gt;4</t>
  </si>
  <si>
    <t>&gt;5</t>
  </si>
  <si>
    <t>&gt;6</t>
  </si>
  <si>
    <t>Final Rate For current Year</t>
  </si>
  <si>
    <t xml:space="preserve">Premium For Owner/Driver </t>
  </si>
  <si>
    <t>Total Assured Discount</t>
  </si>
  <si>
    <t>OD Premium after All Discounts</t>
  </si>
  <si>
    <t>Age Slab for 2</t>
  </si>
  <si>
    <t>Age Slab for 3</t>
  </si>
  <si>
    <t>Rate for 2</t>
  </si>
  <si>
    <t>Final Rate for 2</t>
  </si>
  <si>
    <t>Rate for 3</t>
  </si>
  <si>
    <r>
      <t>Enhancement Rate - 1</t>
    </r>
    <r>
      <rPr>
        <vertAlign val="superscript"/>
        <sz val="11"/>
        <color indexed="8"/>
        <rFont val="Rockwell"/>
        <family val="1"/>
      </rPr>
      <t>st</t>
    </r>
    <r>
      <rPr>
        <sz val="11"/>
        <color indexed="8"/>
        <rFont val="Rockwell"/>
        <family val="1"/>
      </rPr>
      <t xml:space="preserve"> Year</t>
    </r>
  </si>
  <si>
    <r>
      <t>Enhancement Rate - 2</t>
    </r>
    <r>
      <rPr>
        <vertAlign val="superscript"/>
        <sz val="11"/>
        <color indexed="8"/>
        <rFont val="Rockwell"/>
        <family val="1"/>
      </rPr>
      <t>nd</t>
    </r>
    <r>
      <rPr>
        <sz val="11"/>
        <color indexed="8"/>
        <rFont val="Rockwell"/>
        <family val="1"/>
      </rPr>
      <t xml:space="preserve"> year</t>
    </r>
  </si>
  <si>
    <r>
      <t>Enhancement Rate 1</t>
    </r>
    <r>
      <rPr>
        <vertAlign val="superscript"/>
        <sz val="11"/>
        <color indexed="9"/>
        <rFont val="Calibri"/>
        <family val="2"/>
      </rPr>
      <t>st</t>
    </r>
    <r>
      <rPr>
        <sz val="11"/>
        <color indexed="9"/>
        <rFont val="Calibri"/>
        <family val="2"/>
      </rPr>
      <t xml:space="preserve"> Year</t>
    </r>
  </si>
  <si>
    <r>
      <t>Enhancment Rate 2</t>
    </r>
    <r>
      <rPr>
        <vertAlign val="superscript"/>
        <sz val="11"/>
        <color indexed="9"/>
        <rFont val="Calibri"/>
        <family val="2"/>
      </rPr>
      <t>nd</t>
    </r>
    <r>
      <rPr>
        <sz val="11"/>
        <color indexed="9"/>
        <rFont val="Calibri"/>
        <family val="2"/>
      </rPr>
      <t xml:space="preserve"> year</t>
    </r>
  </si>
  <si>
    <r>
      <t>IDV For the 3</t>
    </r>
    <r>
      <rPr>
        <vertAlign val="superscript"/>
        <sz val="11"/>
        <color indexed="8"/>
        <rFont val="Rockwell"/>
        <family val="1"/>
      </rPr>
      <t>rd</t>
    </r>
    <r>
      <rPr>
        <sz val="11"/>
        <color indexed="8"/>
        <rFont val="Rockwell"/>
        <family val="1"/>
      </rPr>
      <t xml:space="preserve"> Year (In Rs.)</t>
    </r>
  </si>
  <si>
    <r>
      <t>Enhancement Rate – 3</t>
    </r>
    <r>
      <rPr>
        <vertAlign val="superscript"/>
        <sz val="11"/>
        <color indexed="8"/>
        <rFont val="Rockwell"/>
        <family val="1"/>
      </rPr>
      <t>rd</t>
    </r>
    <r>
      <rPr>
        <sz val="11"/>
        <color indexed="8"/>
        <rFont val="Rockwell"/>
        <family val="1"/>
      </rPr>
      <t xml:space="preserve"> Year</t>
    </r>
  </si>
  <si>
    <r>
      <t>Final Rate for 3</t>
    </r>
    <r>
      <rPr>
        <vertAlign val="superscript"/>
        <sz val="11"/>
        <color indexed="9"/>
        <rFont val="Calibri"/>
        <family val="2"/>
      </rPr>
      <t>rd</t>
    </r>
    <r>
      <rPr>
        <sz val="11"/>
        <color indexed="9"/>
        <rFont val="Calibri"/>
        <family val="2"/>
      </rPr>
      <t xml:space="preserve"> Year</t>
    </r>
  </si>
  <si>
    <r>
      <t>Enhancement Rate 3</t>
    </r>
    <r>
      <rPr>
        <vertAlign val="superscript"/>
        <sz val="11"/>
        <color indexed="9"/>
        <rFont val="Calibri"/>
        <family val="2"/>
      </rPr>
      <t>rd</t>
    </r>
    <r>
      <rPr>
        <sz val="11"/>
        <color indexed="9"/>
        <rFont val="Calibri"/>
        <family val="2"/>
      </rPr>
      <t xml:space="preserve"> year</t>
    </r>
  </si>
  <si>
    <t>2 Years Premium</t>
  </si>
  <si>
    <t>2Yr Liability Premium</t>
  </si>
  <si>
    <t>3 Year Liability Premium</t>
  </si>
  <si>
    <r>
      <t>LT Assured Discount for 1</t>
    </r>
    <r>
      <rPr>
        <vertAlign val="superscript"/>
        <sz val="11"/>
        <color indexed="8"/>
        <rFont val="Rockwell"/>
        <family val="1"/>
      </rPr>
      <t>st</t>
    </r>
    <r>
      <rPr>
        <sz val="11"/>
        <color indexed="8"/>
        <rFont val="Rockwell"/>
        <family val="1"/>
      </rPr>
      <t xml:space="preserve"> Yr</t>
    </r>
  </si>
  <si>
    <r>
      <t>LT Assured Discount for 2</t>
    </r>
    <r>
      <rPr>
        <vertAlign val="superscript"/>
        <sz val="11"/>
        <color indexed="8"/>
        <rFont val="Rockwell"/>
        <family val="1"/>
      </rPr>
      <t>nd</t>
    </r>
    <r>
      <rPr>
        <sz val="11"/>
        <color indexed="8"/>
        <rFont val="Rockwell"/>
        <family val="1"/>
      </rPr>
      <t xml:space="preserve"> Yr</t>
    </r>
  </si>
  <si>
    <r>
      <t>Enhancement Premium - 1</t>
    </r>
    <r>
      <rPr>
        <vertAlign val="superscript"/>
        <sz val="11"/>
        <color indexed="8"/>
        <rFont val="Rockwell"/>
        <family val="1"/>
      </rPr>
      <t>st</t>
    </r>
    <r>
      <rPr>
        <sz val="11"/>
        <color indexed="8"/>
        <rFont val="Rockwell"/>
        <family val="1"/>
      </rPr>
      <t xml:space="preserve"> Yr</t>
    </r>
  </si>
  <si>
    <r>
      <t>Enhancement Premium - 2</t>
    </r>
    <r>
      <rPr>
        <vertAlign val="superscript"/>
        <sz val="11"/>
        <color indexed="8"/>
        <rFont val="Rockwell"/>
        <family val="1"/>
      </rPr>
      <t>nd</t>
    </r>
    <r>
      <rPr>
        <sz val="11"/>
        <color indexed="8"/>
        <rFont val="Rockwell"/>
        <family val="1"/>
      </rPr>
      <t xml:space="preserve"> Yr</t>
    </r>
  </si>
  <si>
    <r>
      <t>Enhancement Premium - 3</t>
    </r>
    <r>
      <rPr>
        <vertAlign val="superscript"/>
        <sz val="11"/>
        <color indexed="8"/>
        <rFont val="Rockwell"/>
        <family val="1"/>
      </rPr>
      <t>rd</t>
    </r>
    <r>
      <rPr>
        <sz val="11"/>
        <color indexed="8"/>
        <rFont val="Rockwell"/>
        <family val="1"/>
      </rPr>
      <t xml:space="preserve"> Yr</t>
    </r>
  </si>
  <si>
    <t>Date of First Purchase of Vehicle(mm/dd/yyyy)</t>
  </si>
  <si>
    <t>3 Years Premium</t>
  </si>
  <si>
    <t>3Years after Date of Purchase</t>
  </si>
  <si>
    <t>Detariff Discount</t>
  </si>
  <si>
    <t>LT Assured Discount for 3rd Yr</t>
  </si>
  <si>
    <t>Type of Enhancement Cover (By Default)</t>
  </si>
  <si>
    <t>Value of the Bi-fuel System (In case LPG/CNG is not a part of invoice)</t>
  </si>
  <si>
    <t>Is the vehicle fitted with LPG/CNG as a part of Invoice?</t>
  </si>
  <si>
    <t>Premium for Bi Fuel System</t>
  </si>
  <si>
    <t>TP Premium for Bi Fuel System</t>
  </si>
  <si>
    <t>Policy Start Date</t>
  </si>
  <si>
    <t>Today</t>
  </si>
  <si>
    <t>No. Of Days Remaining</t>
  </si>
  <si>
    <t>No. Of Days Lapsed</t>
  </si>
  <si>
    <t>NCB Recovery Amount</t>
  </si>
  <si>
    <t>Transfer Amount</t>
  </si>
  <si>
    <t>Total Amount</t>
  </si>
  <si>
    <r>
      <t xml:space="preserve">In case of Nil-Dep Policies, populate the </t>
    </r>
    <r>
      <rPr>
        <b/>
        <sz val="11"/>
        <color indexed="8"/>
        <rFont val="Garamond"/>
        <family val="1"/>
      </rPr>
      <t xml:space="preserve">OD Premium </t>
    </r>
    <r>
      <rPr>
        <sz val="11"/>
        <color indexed="8"/>
        <rFont val="Garamond"/>
        <family val="1"/>
      </rPr>
      <t xml:space="preserve">from the CWISS and </t>
    </r>
    <r>
      <rPr>
        <b/>
        <sz val="11"/>
        <color indexed="8"/>
        <rFont val="Garamond"/>
        <family val="1"/>
      </rPr>
      <t>NOT</t>
    </r>
    <r>
      <rPr>
        <sz val="11"/>
        <color indexed="8"/>
        <rFont val="Garamond"/>
        <family val="1"/>
      </rPr>
      <t xml:space="preserve"> from policy copy as Nil Dep premium is also included in the OD Premium Column in the policy copy.</t>
    </r>
  </si>
  <si>
    <t>Difference in TP Premium Compared to 2015-16</t>
  </si>
  <si>
    <t>Type of Vehicle</t>
  </si>
  <si>
    <t>TP Premium 2015-16</t>
  </si>
  <si>
    <t>TP Premium 2016-17</t>
  </si>
  <si>
    <t xml:space="preserve">Difference in Rs. </t>
  </si>
  <si>
    <t>% Difference</t>
  </si>
  <si>
    <t xml:space="preserve">Developed By: </t>
  </si>
  <si>
    <t>Private Cars</t>
  </si>
  <si>
    <t>&lt;1000 CC</t>
  </si>
  <si>
    <t>1001-1500 CC</t>
  </si>
  <si>
    <t>&gt;1500 CC</t>
  </si>
  <si>
    <t>Two Wheelers</t>
  </si>
  <si>
    <t>&lt;75 CC</t>
  </si>
  <si>
    <t>76-150 CC</t>
  </si>
  <si>
    <t>151-350 CC</t>
  </si>
  <si>
    <t>&gt;350 CC</t>
  </si>
  <si>
    <t>GCV Public (Other than 3 Wheelers)</t>
  </si>
  <si>
    <t>GVW &lt;7500 Kgs</t>
  </si>
  <si>
    <t>GVW 7501-12000 Kgs</t>
  </si>
  <si>
    <t>GVW 12001-20000 Kgs</t>
  </si>
  <si>
    <t>GVW 20001-40000 Kgs</t>
  </si>
  <si>
    <t>GVW &gt;40000 Kgs</t>
  </si>
  <si>
    <t>GCV Private (Other than 3 Wheelers)</t>
  </si>
  <si>
    <t>PCV &lt;6 Passengers</t>
  </si>
  <si>
    <t>Basic TP</t>
  </si>
  <si>
    <t>Per Passenger</t>
  </si>
  <si>
    <t>PCV &gt;6 Passengers</t>
  </si>
  <si>
    <t>3 Wheeled PCV &lt;6 (Auto)</t>
  </si>
  <si>
    <t>Developed By:</t>
  </si>
  <si>
    <t>Current NCB</t>
  </si>
  <si>
    <t>Is the vehicle fitted with Bi Fuel System as a part of Invoice?</t>
  </si>
  <si>
    <t>Value of the Bi-fuel System (In case it is not a part of invoice)</t>
  </si>
  <si>
    <t>Engine Protection Cover Required?</t>
  </si>
  <si>
    <t>Amount of Road Tax in Rs. (If Reqd)</t>
  </si>
  <si>
    <t>NCB Protection Cover Required?</t>
  </si>
  <si>
    <t>Loss of contents cover Required?</t>
  </si>
  <si>
    <t>Net of Enhancement Cover</t>
  </si>
  <si>
    <t>Rate for Road Tax Cover (%)</t>
  </si>
  <si>
    <t>Premium for Road tax cover</t>
  </si>
  <si>
    <t>RTI Rate</t>
  </si>
  <si>
    <t>RTI Premium</t>
  </si>
  <si>
    <t>NCB Protection Rate</t>
  </si>
  <si>
    <t>NCB Protection Premium</t>
  </si>
  <si>
    <t>Engine Protection Rate</t>
  </si>
  <si>
    <t>Engine Protection Premium</t>
  </si>
  <si>
    <t>Additional Towing Charges</t>
  </si>
  <si>
    <t>Loss of Contents Premium</t>
  </si>
  <si>
    <t>Total Add on Covers Premium</t>
  </si>
  <si>
    <t>Final OD Premium</t>
  </si>
  <si>
    <t xml:space="preserve">You still have a cushion / buffer of Rs. </t>
  </si>
  <si>
    <t>You have reached the maximum discount</t>
  </si>
  <si>
    <t xml:space="preserve">You have crossed the maximum Discount by Rs. </t>
  </si>
  <si>
    <t>. Kindly Reduce the disc %</t>
  </si>
  <si>
    <t>Age Check for Addon covers</t>
  </si>
  <si>
    <t>NCB Protection</t>
  </si>
  <si>
    <t>&lt;17 Lacs</t>
  </si>
  <si>
    <t>&gt;17 Lacs</t>
  </si>
  <si>
    <t>With Benefit of Zero Dep</t>
  </si>
  <si>
    <t>Assistant Manager</t>
  </si>
  <si>
    <t>Hyderabad R.O</t>
  </si>
  <si>
    <t>% of (Basic + Addon)</t>
  </si>
  <si>
    <t>Paid Driver / Any Rs. 50 Parameter</t>
  </si>
  <si>
    <t>Is Vehicle fitted with Bi Fuel System as a part of invoice?</t>
  </si>
  <si>
    <t>Bi Fuel TP Premium</t>
  </si>
  <si>
    <t>Premium After Discount</t>
  </si>
  <si>
    <t>Towing Charges Premium</t>
  </si>
  <si>
    <t>Normal Towing Charges Add on cover - Max Amount 1500</t>
  </si>
  <si>
    <t>Additional Towing Charges Add On Cover  - If required (Max 10,000)</t>
  </si>
  <si>
    <t>Normal Towing Charges Prem</t>
  </si>
  <si>
    <t>Towing Charges Cover - Max Amount Rs. 20000</t>
  </si>
  <si>
    <t>Anti Theft Cover Required?</t>
  </si>
  <si>
    <t>IDV for 2nd Year</t>
  </si>
  <si>
    <t>IDV for 3rd Year</t>
  </si>
  <si>
    <t>Basic Rate After Discount</t>
  </si>
  <si>
    <t>Basic OD for 2nd Year</t>
  </si>
  <si>
    <t>Basic OD for 3rd Year</t>
  </si>
  <si>
    <t>Anti Theft Discount</t>
  </si>
  <si>
    <t>Enchancement Rate 1 year</t>
  </si>
  <si>
    <t>Enchancement Rate 2nd year</t>
  </si>
  <si>
    <t>Enchancement Rate 3rd year</t>
  </si>
  <si>
    <t>Enh Premium 1 Year</t>
  </si>
  <si>
    <t>Enh Premium 2ndYear</t>
  </si>
  <si>
    <t>Enh Premium 3rd Year</t>
  </si>
  <si>
    <t>1st year</t>
  </si>
  <si>
    <t>2nd Year</t>
  </si>
  <si>
    <t>3rd year</t>
  </si>
  <si>
    <t>4th year</t>
  </si>
  <si>
    <t>5th Year</t>
  </si>
  <si>
    <t>Select Policy</t>
  </si>
  <si>
    <t>Rate After Discount</t>
  </si>
  <si>
    <t>GST</t>
  </si>
  <si>
    <t>Rate after Discount</t>
  </si>
  <si>
    <t>5 Years Premium</t>
  </si>
  <si>
    <t>5 Year Liability Premium</t>
  </si>
  <si>
    <t>Rate after discount</t>
  </si>
  <si>
    <t>Anti Theft discount</t>
  </si>
  <si>
    <t>Additional Towing Charges - Maximum 20000</t>
  </si>
  <si>
    <t>Antitheft Cover reqd?</t>
  </si>
  <si>
    <t>Anti Theft Premium</t>
  </si>
  <si>
    <r>
      <t>Enhancement Rate - 1</t>
    </r>
    <r>
      <rPr>
        <vertAlign val="superscript"/>
        <sz val="11"/>
        <color indexed="8"/>
        <rFont val="Book Antiqua"/>
        <family val="1"/>
      </rPr>
      <t>st</t>
    </r>
    <r>
      <rPr>
        <sz val="11"/>
        <color indexed="8"/>
        <rFont val="Book Antiqua"/>
        <family val="1"/>
      </rPr>
      <t xml:space="preserve"> Year</t>
    </r>
  </si>
  <si>
    <r>
      <t>IDV For the 2</t>
    </r>
    <r>
      <rPr>
        <vertAlign val="superscript"/>
        <sz val="11"/>
        <color indexed="8"/>
        <rFont val="Book Antiqua"/>
        <family val="1"/>
      </rPr>
      <t>nd</t>
    </r>
    <r>
      <rPr>
        <sz val="11"/>
        <color indexed="8"/>
        <rFont val="Book Antiqua"/>
        <family val="1"/>
      </rPr>
      <t xml:space="preserve"> Year (In Rs.)</t>
    </r>
  </si>
  <si>
    <r>
      <t>Enhancement Premium - 1</t>
    </r>
    <r>
      <rPr>
        <vertAlign val="superscript"/>
        <sz val="11"/>
        <color indexed="8"/>
        <rFont val="Book Antiqua"/>
        <family val="1"/>
      </rPr>
      <t>st</t>
    </r>
    <r>
      <rPr>
        <sz val="11"/>
        <color indexed="8"/>
        <rFont val="Book Antiqua"/>
        <family val="1"/>
      </rPr>
      <t xml:space="preserve"> Yr</t>
    </r>
  </si>
  <si>
    <r>
      <t>IDV For the 3</t>
    </r>
    <r>
      <rPr>
        <vertAlign val="superscript"/>
        <sz val="11"/>
        <color indexed="8"/>
        <rFont val="Book Antiqua"/>
        <family val="1"/>
      </rPr>
      <t>rd</t>
    </r>
    <r>
      <rPr>
        <sz val="11"/>
        <color indexed="8"/>
        <rFont val="Book Antiqua"/>
        <family val="1"/>
      </rPr>
      <t xml:space="preserve"> Year (In Rs.)</t>
    </r>
  </si>
  <si>
    <r>
      <t>Enhancement Rate - 2</t>
    </r>
    <r>
      <rPr>
        <vertAlign val="superscript"/>
        <sz val="11"/>
        <color indexed="8"/>
        <rFont val="Book Antiqua"/>
        <family val="1"/>
      </rPr>
      <t>nd</t>
    </r>
    <r>
      <rPr>
        <sz val="11"/>
        <color indexed="8"/>
        <rFont val="Book Antiqua"/>
        <family val="1"/>
      </rPr>
      <t xml:space="preserve"> year</t>
    </r>
  </si>
  <si>
    <t>IDV For the 4th Year (In Rs.)</t>
  </si>
  <si>
    <r>
      <t>Enhancement Premium - 2</t>
    </r>
    <r>
      <rPr>
        <vertAlign val="superscript"/>
        <sz val="11"/>
        <color indexed="8"/>
        <rFont val="Book Antiqua"/>
        <family val="1"/>
      </rPr>
      <t>nd</t>
    </r>
    <r>
      <rPr>
        <sz val="11"/>
        <color indexed="8"/>
        <rFont val="Book Antiqua"/>
        <family val="1"/>
      </rPr>
      <t xml:space="preserve"> Yr</t>
    </r>
  </si>
  <si>
    <t>IDV For the 5th Year (In Rs.)</t>
  </si>
  <si>
    <r>
      <t>Enhancement Rate – 3</t>
    </r>
    <r>
      <rPr>
        <vertAlign val="superscript"/>
        <sz val="11"/>
        <color indexed="8"/>
        <rFont val="Book Antiqua"/>
        <family val="1"/>
      </rPr>
      <t>rd</t>
    </r>
    <r>
      <rPr>
        <sz val="11"/>
        <color indexed="8"/>
        <rFont val="Book Antiqua"/>
        <family val="1"/>
      </rPr>
      <t xml:space="preserve"> Year</t>
    </r>
  </si>
  <si>
    <r>
      <t>Enhancement Premium - 3</t>
    </r>
    <r>
      <rPr>
        <vertAlign val="superscript"/>
        <sz val="11"/>
        <color indexed="8"/>
        <rFont val="Book Antiqua"/>
        <family val="1"/>
      </rPr>
      <t>rd</t>
    </r>
    <r>
      <rPr>
        <sz val="11"/>
        <color indexed="8"/>
        <rFont val="Book Antiqua"/>
        <family val="1"/>
      </rPr>
      <t xml:space="preserve"> Yr</t>
    </r>
  </si>
  <si>
    <r>
      <t>Basic OD for 2</t>
    </r>
    <r>
      <rPr>
        <vertAlign val="superscript"/>
        <sz val="11"/>
        <color indexed="8"/>
        <rFont val="Book Antiqua"/>
        <family val="1"/>
      </rPr>
      <t>nd</t>
    </r>
    <r>
      <rPr>
        <sz val="11"/>
        <color indexed="8"/>
        <rFont val="Book Antiqua"/>
        <family val="1"/>
      </rPr>
      <t xml:space="preserve"> Year</t>
    </r>
  </si>
  <si>
    <t>Enhancement Rate – 4th Year</t>
  </si>
  <si>
    <r>
      <t>Basic OD for 3</t>
    </r>
    <r>
      <rPr>
        <vertAlign val="superscript"/>
        <sz val="11"/>
        <color indexed="8"/>
        <rFont val="Book Antiqua"/>
        <family val="1"/>
      </rPr>
      <t>rd</t>
    </r>
    <r>
      <rPr>
        <sz val="11"/>
        <color indexed="8"/>
        <rFont val="Book Antiqua"/>
        <family val="1"/>
      </rPr>
      <t xml:space="preserve"> Year</t>
    </r>
  </si>
  <si>
    <t>Enhancement Premium - 4th Yr</t>
  </si>
  <si>
    <t>Basic OD for 4thYear</t>
  </si>
  <si>
    <t>Enhancement Rate – 5th Year</t>
  </si>
  <si>
    <t>Basic OD for 5th Year</t>
  </si>
  <si>
    <t>Enhancement Premium - 5th Yr</t>
  </si>
  <si>
    <t>Total Enhancement Premium</t>
  </si>
  <si>
    <r>
      <t>Final Rate for 3</t>
    </r>
    <r>
      <rPr>
        <vertAlign val="superscript"/>
        <sz val="11"/>
        <rFont val="Calibri"/>
        <family val="2"/>
      </rPr>
      <t>rd</t>
    </r>
    <r>
      <rPr>
        <sz val="11"/>
        <rFont val="Calibri"/>
        <family val="2"/>
      </rPr>
      <t xml:space="preserve"> Year</t>
    </r>
  </si>
  <si>
    <r>
      <t>Enhancement Rate 1</t>
    </r>
    <r>
      <rPr>
        <vertAlign val="superscript"/>
        <sz val="11"/>
        <rFont val="Calibri"/>
        <family val="2"/>
      </rPr>
      <t>st</t>
    </r>
    <r>
      <rPr>
        <sz val="11"/>
        <rFont val="Calibri"/>
        <family val="2"/>
      </rPr>
      <t xml:space="preserve"> Year</t>
    </r>
  </si>
  <si>
    <r>
      <t>Enhancment Rate 2</t>
    </r>
    <r>
      <rPr>
        <vertAlign val="superscript"/>
        <sz val="11"/>
        <rFont val="Calibri"/>
        <family val="2"/>
      </rPr>
      <t>nd</t>
    </r>
    <r>
      <rPr>
        <sz val="11"/>
        <rFont val="Calibri"/>
        <family val="2"/>
      </rPr>
      <t xml:space="preserve"> year</t>
    </r>
  </si>
  <si>
    <r>
      <t>Enhancement Rate 3</t>
    </r>
    <r>
      <rPr>
        <vertAlign val="superscript"/>
        <sz val="11"/>
        <rFont val="Calibri"/>
        <family val="2"/>
      </rPr>
      <t>rd</t>
    </r>
    <r>
      <rPr>
        <sz val="11"/>
        <rFont val="Calibri"/>
        <family val="2"/>
      </rPr>
      <t xml:space="preserve"> year</t>
    </r>
  </si>
  <si>
    <t>Basic OD W/o Disc</t>
  </si>
  <si>
    <t>GVW W/o Disc</t>
  </si>
  <si>
    <t>Total</t>
  </si>
  <si>
    <t>CPA for Owner Driver</t>
  </si>
  <si>
    <t>FPD - Full Policy Duration</t>
  </si>
  <si>
    <t>Select CPA for Owner Driver</t>
  </si>
  <si>
    <t>FPD - Full Policy Period</t>
  </si>
  <si>
    <t>Client Name:</t>
  </si>
  <si>
    <t>Package</t>
  </si>
  <si>
    <t>Enhancement</t>
  </si>
  <si>
    <t>AgebandTW_Package</t>
  </si>
  <si>
    <t>Third Party Premium for 5 Years</t>
  </si>
  <si>
    <t>Pillion Rider Premium for 5 Years</t>
  </si>
  <si>
    <t>Selected</t>
  </si>
  <si>
    <t>Bahubali</t>
  </si>
  <si>
    <t>Client Name</t>
  </si>
  <si>
    <t>Zone A Pack</t>
  </si>
  <si>
    <t>Zone B Pack</t>
  </si>
  <si>
    <t>Enh Final Rate</t>
  </si>
  <si>
    <t>Pack Final Rate</t>
  </si>
  <si>
    <t>Age_Enh_Taxi</t>
  </si>
  <si>
    <t>Age_Pack_Taxi</t>
  </si>
  <si>
    <t>Final Package</t>
  </si>
  <si>
    <t>Enhancement Policy</t>
  </si>
  <si>
    <t>Selection</t>
  </si>
  <si>
    <t>Enh</t>
  </si>
  <si>
    <t>Pack</t>
  </si>
  <si>
    <t>E-Cart Public</t>
  </si>
  <si>
    <t>TP Premium</t>
  </si>
  <si>
    <t>Public or Public Enh</t>
  </si>
  <si>
    <t>Private Or Private Enh</t>
  </si>
  <si>
    <t>E-Cart Private</t>
  </si>
  <si>
    <t>Auto/E Cart</t>
  </si>
  <si>
    <t>PCV 6 to 17</t>
  </si>
  <si>
    <t>PCV &gt;17</t>
  </si>
  <si>
    <t>Auto/Ecart</t>
  </si>
  <si>
    <t>Final Rate</t>
  </si>
  <si>
    <t>One Year</t>
  </si>
  <si>
    <t>Ambulance TP Premium</t>
  </si>
  <si>
    <t>Hearses TP Premium</t>
  </si>
  <si>
    <t>Value of Elec / Non Elec Fittings (In Rs.) if Not included in the Manf. Selling Price</t>
  </si>
  <si>
    <t>3 Yrs Pack</t>
  </si>
  <si>
    <t>Check the Age of the Vehicle When Policy is Changed</t>
  </si>
  <si>
    <t>Check the Age Of Vehicle Column After Changing the Type of Policy</t>
  </si>
  <si>
    <t>Enter the GST % As Applicable</t>
  </si>
  <si>
    <t>Above GST Cell is Applicable for Sheets Other than GCV</t>
  </si>
  <si>
    <t>LT Enh</t>
  </si>
  <si>
    <t>Rate for Road Tax Cover</t>
  </si>
  <si>
    <t>Premium for Road Tax Cover</t>
  </si>
  <si>
    <t>Rate for RTI</t>
  </si>
  <si>
    <t>Premium for RTI</t>
  </si>
  <si>
    <t>Rate for NCB Protection</t>
  </si>
  <si>
    <t>Premium for NCB Protection</t>
  </si>
  <si>
    <t>Rate for Engine Protect</t>
  </si>
  <si>
    <t>Premium for Engine Protect</t>
  </si>
  <si>
    <r>
      <t xml:space="preserve">RTI Cover: </t>
    </r>
    <r>
      <rPr>
        <b/>
        <i/>
        <sz val="11"/>
        <color indexed="8"/>
        <rFont val="Rockwell"/>
        <family val="1"/>
      </rPr>
      <t>Enter Invoice Value if Required</t>
    </r>
  </si>
  <si>
    <t>NCB Protection Rates</t>
  </si>
  <si>
    <t>Premium Rate</t>
  </si>
  <si>
    <t>Engine Protect Cover</t>
  </si>
  <si>
    <t>Engine Protect Cover Required?</t>
  </si>
  <si>
    <t>Consumable Items Cover Required?</t>
  </si>
  <si>
    <t>Rate for Consumable Items</t>
  </si>
  <si>
    <t>Premium for Consumabe Items</t>
  </si>
  <si>
    <t>Consumables</t>
  </si>
  <si>
    <t>Total Add On Covers Premium Excl Enh Prem</t>
  </si>
  <si>
    <r>
      <t>Road Tax Cover:</t>
    </r>
    <r>
      <rPr>
        <i/>
        <sz val="10"/>
        <color indexed="8"/>
        <rFont val="Rockwell"/>
        <family val="1"/>
      </rPr>
      <t xml:space="preserve"> Enter Road Tax Amount if Req. Else 0</t>
    </r>
  </si>
  <si>
    <r>
      <t xml:space="preserve">Enter the Invoice Value (at the time of purchase) – If RTI Cover Req - </t>
    </r>
    <r>
      <rPr>
        <sz val="8"/>
        <rFont val="Book Antiqua"/>
        <family val="1"/>
      </rPr>
      <t>I</t>
    </r>
    <r>
      <rPr>
        <sz val="9"/>
        <rFont val="Book Antiqua"/>
        <family val="1"/>
      </rPr>
      <t>nvoice Value = Vehicle cost + Reg. Charges+ Road Tax + First Yr Insurance Prem</t>
    </r>
  </si>
  <si>
    <t>Consumable Items Rate</t>
  </si>
  <si>
    <t>Consumable Items Premium</t>
  </si>
  <si>
    <t>High Value PA Cover Premium</t>
  </si>
  <si>
    <t>Consumable Items Required?</t>
  </si>
  <si>
    <t>High Value PA Cover - If Req Enter S.I in Multiples of Rs. 15 Lakhs</t>
  </si>
  <si>
    <t>TP Bifuel 1Yr</t>
  </si>
  <si>
    <t>TP Bifuel 3 Yr</t>
  </si>
  <si>
    <t>Other Than Package</t>
  </si>
  <si>
    <t>Engine Protect Premium</t>
  </si>
  <si>
    <t>5 Yr</t>
  </si>
  <si>
    <t>1 Yr</t>
  </si>
  <si>
    <t>Consumables Premium</t>
  </si>
  <si>
    <t>13874 - for School Bus and 14494 for others</t>
  </si>
  <si>
    <t>Trailer Only</t>
  </si>
  <si>
    <t>Normal</t>
  </si>
  <si>
    <t>Hire or Reward</t>
  </si>
  <si>
    <r>
      <t xml:space="preserve">BASIC TP PREMIUM in this class of vehicles is Rs. </t>
    </r>
    <r>
      <rPr>
        <b/>
        <sz val="12"/>
        <rFont val="Book Antiqua"/>
        <family val="1"/>
      </rPr>
      <t>6847/-</t>
    </r>
    <r>
      <rPr>
        <b/>
        <sz val="9"/>
        <rFont val="Book antiqua"/>
        <family val="1"/>
      </rPr>
      <t xml:space="preserve"> for some vehicles and Rs. </t>
    </r>
    <r>
      <rPr>
        <b/>
        <sz val="12"/>
        <rFont val="Book Antiqua"/>
        <family val="1"/>
      </rPr>
      <t>1550</t>
    </r>
    <r>
      <rPr>
        <b/>
        <sz val="9"/>
        <rFont val="Book antiqua"/>
        <family val="1"/>
      </rPr>
      <t xml:space="preserve"> for others . Fill the Cell </t>
    </r>
    <r>
      <rPr>
        <b/>
        <sz val="12"/>
        <rFont val="Book Antiqua"/>
        <family val="1"/>
      </rPr>
      <t>D9</t>
    </r>
    <r>
      <rPr>
        <b/>
        <sz val="9"/>
        <rFont val="Book antiqua"/>
        <family val="1"/>
      </rPr>
      <t xml:space="preserve"> accordingly as per the proposal</t>
    </r>
  </si>
  <si>
    <t>Branch Manager, Miryalaguda Branch</t>
  </si>
  <si>
    <t>B.M Miryalaguda Branch</t>
  </si>
  <si>
    <t>B.M, Miryalaguda Branch</t>
  </si>
  <si>
    <t>Branch Manager, Miryalaguda</t>
  </si>
  <si>
    <t xml:space="preserve">Third Party Premium </t>
  </si>
  <si>
    <t>rti</t>
  </si>
  <si>
    <t>Select Type of Vehicle</t>
  </si>
  <si>
    <t>Private Car</t>
  </si>
  <si>
    <t>In kW</t>
  </si>
  <si>
    <t>In CC</t>
  </si>
  <si>
    <t>Not Exceeding 30 kW</t>
  </si>
  <si>
    <t>Exceeding 30 kW but not exceeding 65 kW</t>
  </si>
  <si>
    <t>Exceeding 65 kW</t>
  </si>
  <si>
    <t>TP PC</t>
  </si>
  <si>
    <t>TP Quadri</t>
  </si>
  <si>
    <t>Not Exceeding 3 kW</t>
  </si>
  <si>
    <t>Exceeding 3 kW but not exceeding 7 kW</t>
  </si>
  <si>
    <t>Exceeding 7 kW but not exceeding 16 kW</t>
  </si>
  <si>
    <t>Exceeding 16 kW</t>
  </si>
  <si>
    <t>76 to 150</t>
  </si>
  <si>
    <t>151 to 350</t>
  </si>
  <si>
    <t>Others</t>
  </si>
  <si>
    <t>TP Others</t>
  </si>
  <si>
    <t>TP Battery</t>
  </si>
  <si>
    <t>Battery TP</t>
  </si>
  <si>
    <t>Others TP</t>
  </si>
  <si>
    <t>Misc</t>
  </si>
  <si>
    <t>Not Required</t>
  </si>
  <si>
    <t>Public Enhancement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</si>
</sst>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
    <numFmt numFmtId="166" formatCode="m/d/yy"/>
    <numFmt numFmtId="167" formatCode="mmm\ dd"/>
  </numFmts>
  <fonts count="152">
    <font>
      <sz val="10"/>
      <name val="Arial"/>
      <family val="2"/>
    </font>
    <font>
      <sz val="11"/>
      <color indexed="8"/>
      <name val="Calibri"/>
      <family val="2"/>
    </font>
    <font>
      <sz val="11"/>
      <color indexed="9"/>
      <name val="Book antiqua"/>
      <family val="1"/>
    </font>
    <font>
      <sz val="10"/>
      <color indexed="9"/>
      <name val="Arial"/>
      <family val="2"/>
    </font>
    <font>
      <b/>
      <sz val="24"/>
      <color indexed="9"/>
      <name val="Segoe Script"/>
      <family val="2"/>
    </font>
    <font>
      <b/>
      <sz val="13.5"/>
      <color indexed="9"/>
      <name val="Segoe Script"/>
      <family val="2"/>
    </font>
    <font>
      <sz val="12"/>
      <color indexed="9"/>
      <name val="Segoe Script"/>
      <family val="2"/>
    </font>
    <font>
      <b/>
      <sz val="13"/>
      <color indexed="9"/>
      <name val="Segoe Script"/>
      <family val="2"/>
    </font>
    <font>
      <b/>
      <sz val="17"/>
      <color indexed="9"/>
      <name val="Segoe Script"/>
      <family val="2"/>
    </font>
    <font>
      <sz val="12"/>
      <color indexed="9"/>
      <name val="Arial"/>
      <family val="2"/>
    </font>
    <font>
      <b/>
      <sz val="12"/>
      <color indexed="9"/>
      <name val="Segoe Script"/>
      <family val="2"/>
    </font>
    <font>
      <b/>
      <sz val="22"/>
      <color indexed="9"/>
      <name val="Segoe Script"/>
      <family val="2"/>
    </font>
    <font>
      <b/>
      <sz val="20"/>
      <color indexed="9"/>
      <name val="Segoe Script"/>
      <family val="2"/>
    </font>
    <font>
      <b/>
      <sz val="18"/>
      <color indexed="8"/>
      <name val="Segoe Script"/>
      <family val="2"/>
    </font>
    <font>
      <sz val="12"/>
      <color indexed="12"/>
      <name val="Segoe Print"/>
    </font>
    <font>
      <b/>
      <sz val="12"/>
      <color indexed="8"/>
      <name val="Rockwell"/>
      <family val="1"/>
    </font>
    <font>
      <b/>
      <sz val="13"/>
      <color indexed="8"/>
      <name val="Segoe Print"/>
    </font>
    <font>
      <sz val="11"/>
      <color indexed="8"/>
      <name val="Rockwell"/>
      <family val="1"/>
    </font>
    <font>
      <b/>
      <sz val="11"/>
      <color indexed="8"/>
      <name val="Rockwell"/>
      <family val="1"/>
    </font>
    <font>
      <sz val="10"/>
      <name val="Rockwell"/>
      <family val="1"/>
    </font>
    <font>
      <b/>
      <sz val="13"/>
      <name val="Segoe Print"/>
    </font>
    <font>
      <b/>
      <sz val="11"/>
      <name val="Rockwell"/>
      <family val="1"/>
    </font>
    <font>
      <sz val="11"/>
      <name val="Rockwell"/>
      <family val="1"/>
    </font>
    <font>
      <b/>
      <sz val="14"/>
      <color indexed="8"/>
      <name val="Rockwell"/>
      <family val="1"/>
    </font>
    <font>
      <b/>
      <sz val="10"/>
      <name val="Rockwell"/>
      <family val="1"/>
    </font>
    <font>
      <b/>
      <sz val="12"/>
      <name val="Rockwell"/>
      <family val="1"/>
    </font>
    <font>
      <b/>
      <sz val="11"/>
      <color indexed="8"/>
      <name val="Calibri"/>
      <family val="2"/>
    </font>
    <font>
      <sz val="11"/>
      <color indexed="9"/>
      <name val="Calibri"/>
      <family val="2"/>
    </font>
    <font>
      <b/>
      <sz val="11"/>
      <color indexed="9"/>
      <name val="Rockwell"/>
      <family val="1"/>
    </font>
    <font>
      <b/>
      <sz val="11"/>
      <color indexed="9"/>
      <name val="Calibri"/>
      <family val="2"/>
    </font>
    <font>
      <b/>
      <sz val="8"/>
      <color indexed="9"/>
      <name val="Arial"/>
      <family val="2"/>
    </font>
    <font>
      <b/>
      <sz val="10"/>
      <color indexed="9"/>
      <name val="Arial"/>
      <family val="2"/>
    </font>
    <font>
      <sz val="12"/>
      <color indexed="9"/>
      <name val="Times New Roman"/>
      <family val="1"/>
    </font>
    <font>
      <sz val="12"/>
      <name val="Segoe Print"/>
    </font>
    <font>
      <sz val="8"/>
      <color indexed="8"/>
      <name val="Tahoma"/>
      <family val="2"/>
    </font>
    <font>
      <b/>
      <u/>
      <sz val="12"/>
      <color indexed="9"/>
      <name val="Times New Roman"/>
      <family val="1"/>
    </font>
    <font>
      <b/>
      <sz val="12"/>
      <color indexed="9"/>
      <name val="Times New Roman"/>
      <family val="1"/>
    </font>
    <font>
      <b/>
      <sz val="20"/>
      <color indexed="8"/>
      <name val="Segoe Script"/>
      <family val="2"/>
    </font>
    <font>
      <sz val="11"/>
      <color indexed="53"/>
      <name val="Calibri"/>
      <family val="2"/>
    </font>
    <font>
      <b/>
      <sz val="10"/>
      <color indexed="8"/>
      <name val="Rockwell"/>
      <family val="1"/>
    </font>
    <font>
      <sz val="10"/>
      <color indexed="9"/>
      <name val="Rockwell"/>
      <family val="1"/>
    </font>
    <font>
      <b/>
      <u/>
      <sz val="10"/>
      <color indexed="9"/>
      <name val="Rockwell"/>
      <family val="1"/>
    </font>
    <font>
      <b/>
      <sz val="10"/>
      <color indexed="9"/>
      <name val="Rockwell"/>
      <family val="1"/>
    </font>
    <font>
      <b/>
      <sz val="24"/>
      <color indexed="8"/>
      <name val="Segoe Print"/>
    </font>
    <font>
      <b/>
      <sz val="10.5"/>
      <color indexed="8"/>
      <name val="Rockwell"/>
      <family val="1"/>
    </font>
    <font>
      <b/>
      <sz val="10.5"/>
      <name val="Rockwell"/>
      <family val="1"/>
    </font>
    <font>
      <sz val="10.5"/>
      <name val="Rockwell"/>
      <family val="1"/>
    </font>
    <font>
      <sz val="10.5"/>
      <color indexed="8"/>
      <name val="Rockwell"/>
      <family val="1"/>
    </font>
    <font>
      <b/>
      <sz val="10"/>
      <name val="Arial"/>
      <family val="2"/>
    </font>
    <font>
      <b/>
      <sz val="18"/>
      <color indexed="8"/>
      <name val="Monotype Corsiva"/>
      <family val="4"/>
    </font>
    <font>
      <b/>
      <sz val="12"/>
      <color indexed="8"/>
      <name val="Calibri"/>
      <family val="2"/>
    </font>
    <font>
      <b/>
      <sz val="11"/>
      <name val="Calibri"/>
      <family val="2"/>
    </font>
    <font>
      <sz val="36"/>
      <color indexed="8"/>
      <name val="Rockwell Extra Bold"/>
      <family val="1"/>
    </font>
    <font>
      <b/>
      <sz val="8"/>
      <color indexed="8"/>
      <name val="Arial"/>
      <family val="2"/>
    </font>
    <font>
      <sz val="12"/>
      <name val="Times New Roman"/>
      <family val="1"/>
    </font>
    <font>
      <sz val="30"/>
      <name val="Rockwell Extra Bold"/>
      <family val="1"/>
    </font>
    <font>
      <sz val="32"/>
      <color indexed="8"/>
      <name val="Rockwell Extra Bold"/>
      <family val="1"/>
    </font>
    <font>
      <b/>
      <sz val="31"/>
      <color indexed="8"/>
      <name val="Rockwell Extra Bold"/>
      <family val="1"/>
    </font>
    <font>
      <b/>
      <sz val="10.5"/>
      <color indexed="8"/>
      <name val="Book antiqua"/>
      <family val="1"/>
    </font>
    <font>
      <sz val="10.5"/>
      <name val="Book antiqua"/>
      <family val="1"/>
    </font>
    <font>
      <sz val="10.5"/>
      <color indexed="8"/>
      <name val="Book antiqua"/>
      <family val="1"/>
    </font>
    <font>
      <b/>
      <sz val="10.5"/>
      <name val="Book antiqua"/>
      <family val="1"/>
    </font>
    <font>
      <b/>
      <sz val="10.5"/>
      <color indexed="8"/>
      <name val="Calibri"/>
      <family val="2"/>
    </font>
    <font>
      <b/>
      <sz val="24"/>
      <color indexed="8"/>
      <name val="Segoe Script"/>
      <family val="2"/>
    </font>
    <font>
      <sz val="18"/>
      <color indexed="12"/>
      <name val="Segoe Print"/>
    </font>
    <font>
      <b/>
      <sz val="8"/>
      <color indexed="8"/>
      <name val="Tahoma"/>
      <family val="2"/>
    </font>
    <font>
      <sz val="12"/>
      <color indexed="9"/>
      <name val="Palatino"/>
      <family val="1"/>
    </font>
    <font>
      <sz val="16"/>
      <color indexed="12"/>
      <name val="Segoe Print"/>
    </font>
    <font>
      <sz val="11"/>
      <color indexed="9"/>
      <name val="Rockwell"/>
      <family val="1"/>
    </font>
    <font>
      <b/>
      <sz val="12"/>
      <name val="Times New Roman"/>
      <family val="1"/>
    </font>
    <font>
      <b/>
      <sz val="28"/>
      <color indexed="8"/>
      <name val="Segoe Print"/>
    </font>
    <font>
      <b/>
      <u/>
      <sz val="14"/>
      <color indexed="9"/>
      <name val="Arial"/>
      <family val="2"/>
    </font>
    <font>
      <b/>
      <u/>
      <sz val="14"/>
      <color indexed="9"/>
      <name val="Times New Roman"/>
      <family val="1"/>
    </font>
    <font>
      <b/>
      <u/>
      <sz val="10"/>
      <color indexed="9"/>
      <name val="Arial"/>
      <family val="2"/>
    </font>
    <font>
      <b/>
      <i/>
      <u/>
      <sz val="10"/>
      <color indexed="9"/>
      <name val="Arial"/>
      <family val="2"/>
    </font>
    <font>
      <b/>
      <sz val="22"/>
      <color indexed="8"/>
      <name val="Segoe Print"/>
    </font>
    <font>
      <sz val="10"/>
      <name val="Arial"/>
      <family val="2"/>
    </font>
    <font>
      <sz val="10.5"/>
      <color indexed="12"/>
      <name val="Arial"/>
      <family val="2"/>
    </font>
    <font>
      <sz val="11"/>
      <color indexed="63"/>
      <name val="Calibri"/>
      <family val="2"/>
    </font>
    <font>
      <b/>
      <sz val="12"/>
      <name val="MV Boli"/>
    </font>
    <font>
      <b/>
      <sz val="12"/>
      <color indexed="8"/>
      <name val="MV Boli"/>
    </font>
    <font>
      <vertAlign val="superscript"/>
      <sz val="11"/>
      <color indexed="8"/>
      <name val="Rockwell"/>
      <family val="1"/>
    </font>
    <font>
      <vertAlign val="superscript"/>
      <sz val="11"/>
      <color indexed="9"/>
      <name val="Calibri"/>
      <family val="2"/>
    </font>
    <font>
      <sz val="11"/>
      <color theme="0"/>
      <name val="Calibri"/>
      <family val="2"/>
    </font>
    <font>
      <b/>
      <sz val="11"/>
      <color theme="0"/>
      <name val="Rockwell"/>
      <family val="1"/>
    </font>
    <font>
      <b/>
      <sz val="11"/>
      <color theme="0"/>
      <name val="Calibri"/>
      <family val="2"/>
    </font>
    <font>
      <sz val="10"/>
      <color theme="0"/>
      <name val="Arial"/>
      <family val="2"/>
    </font>
    <font>
      <b/>
      <sz val="8"/>
      <color theme="0"/>
      <name val="Arial"/>
      <family val="2"/>
    </font>
    <font>
      <sz val="12"/>
      <color theme="0"/>
      <name val="Times New Roman"/>
      <family val="1"/>
    </font>
    <font>
      <b/>
      <sz val="11"/>
      <color indexed="8"/>
      <name val="Garamond"/>
      <family val="1"/>
    </font>
    <font>
      <sz val="11"/>
      <color indexed="8"/>
      <name val="Garamond"/>
      <family val="1"/>
    </font>
    <font>
      <b/>
      <sz val="12"/>
      <color indexed="8"/>
      <name val="Garamond"/>
      <family val="1"/>
    </font>
    <font>
      <sz val="11"/>
      <name val="Book antiqua"/>
      <family val="1"/>
    </font>
    <font>
      <b/>
      <sz val="13"/>
      <name val="Book Antiqua"/>
      <family val="1"/>
    </font>
    <font>
      <b/>
      <sz val="11"/>
      <name val="Book Antiqua"/>
      <family val="1"/>
    </font>
    <font>
      <sz val="15"/>
      <color indexed="12"/>
      <name val="Segoe Print"/>
    </font>
    <font>
      <sz val="11"/>
      <color indexed="8"/>
      <name val="Book Antiqua"/>
      <family val="1"/>
    </font>
    <font>
      <b/>
      <sz val="11"/>
      <color indexed="8"/>
      <name val="Book Antiqua"/>
      <family val="1"/>
    </font>
    <font>
      <b/>
      <sz val="10"/>
      <color indexed="8"/>
      <name val="Book Antiqua"/>
      <family val="1"/>
    </font>
    <font>
      <sz val="12"/>
      <name val="Book Antiqua"/>
      <family val="1"/>
    </font>
    <font>
      <b/>
      <i/>
      <sz val="12"/>
      <color indexed="8"/>
      <name val="Book Antiqua"/>
      <family val="1"/>
    </font>
    <font>
      <b/>
      <i/>
      <sz val="11"/>
      <color indexed="8"/>
      <name val="Book Antiqua"/>
      <family val="1"/>
    </font>
    <font>
      <b/>
      <i/>
      <sz val="11"/>
      <name val="Book Antiqua"/>
      <family val="1"/>
    </font>
    <font>
      <b/>
      <sz val="12"/>
      <color indexed="8"/>
      <name val="Book Antiqua"/>
      <family val="1"/>
    </font>
    <font>
      <b/>
      <sz val="12"/>
      <name val="Book Antiqua"/>
      <family val="1"/>
    </font>
    <font>
      <b/>
      <sz val="11.5"/>
      <name val="Book Antiqua"/>
      <family val="1"/>
    </font>
    <font>
      <b/>
      <sz val="13"/>
      <color indexed="8"/>
      <name val="Book Antiqua"/>
      <family val="1"/>
    </font>
    <font>
      <sz val="11"/>
      <name val="Calibri"/>
      <family val="2"/>
    </font>
    <font>
      <b/>
      <sz val="9"/>
      <color indexed="8"/>
      <name val="Tahoma"/>
      <family val="2"/>
    </font>
    <font>
      <sz val="10"/>
      <color indexed="8"/>
      <name val="Book antiqua"/>
      <family val="1"/>
    </font>
    <font>
      <sz val="10"/>
      <name val="Book antiqua"/>
      <family val="1"/>
    </font>
    <font>
      <b/>
      <i/>
      <sz val="12"/>
      <name val="Book Antiqua"/>
      <family val="1"/>
    </font>
    <font>
      <sz val="11"/>
      <color indexed="40"/>
      <name val="Calibri"/>
      <family val="2"/>
    </font>
    <font>
      <sz val="11"/>
      <color indexed="55"/>
      <name val="Calibri"/>
      <family val="2"/>
    </font>
    <font>
      <b/>
      <sz val="10"/>
      <color theme="0"/>
      <name val="Rockwell"/>
      <family val="1"/>
    </font>
    <font>
      <b/>
      <i/>
      <sz val="13"/>
      <color indexed="8"/>
      <name val="Rockwell"/>
      <family val="1"/>
    </font>
    <font>
      <b/>
      <i/>
      <sz val="14"/>
      <color indexed="8"/>
      <name val="Book Antiqua"/>
      <family val="1"/>
    </font>
    <font>
      <sz val="11"/>
      <color theme="0"/>
      <name val="Book Antiqua"/>
      <family val="1"/>
    </font>
    <font>
      <b/>
      <sz val="10"/>
      <name val="Book Antiqua"/>
      <family val="1"/>
    </font>
    <font>
      <vertAlign val="superscript"/>
      <sz val="11"/>
      <color indexed="8"/>
      <name val="Book Antiqua"/>
      <family val="1"/>
    </font>
    <font>
      <sz val="11"/>
      <color rgb="FFFFFFFF"/>
      <name val="Calibri"/>
      <family val="2"/>
    </font>
    <font>
      <vertAlign val="superscript"/>
      <sz val="11"/>
      <name val="Calibri"/>
      <family val="2"/>
    </font>
    <font>
      <b/>
      <i/>
      <sz val="11"/>
      <color indexed="8"/>
      <name val="Calibri"/>
      <family val="2"/>
    </font>
    <font>
      <b/>
      <i/>
      <sz val="13"/>
      <color indexed="8"/>
      <name val="Book Antiqua"/>
      <family val="1"/>
    </font>
    <font>
      <sz val="11"/>
      <color theme="8" tint="0.59999389629810485"/>
      <name val="Calibri"/>
      <family val="2"/>
    </font>
    <font>
      <b/>
      <sz val="9"/>
      <name val="Book antiqua"/>
      <family val="1"/>
    </font>
    <font>
      <sz val="15"/>
      <color theme="0"/>
      <name val="Segoe Script"/>
      <family val="2"/>
    </font>
    <font>
      <sz val="12"/>
      <color theme="0"/>
      <name val="Segoe Script"/>
      <family val="2"/>
    </font>
    <font>
      <b/>
      <sz val="19"/>
      <color theme="0"/>
      <name val="Segoe Script"/>
      <family val="2"/>
    </font>
    <font>
      <b/>
      <sz val="32"/>
      <color theme="0"/>
      <name val="Segoe Script"/>
      <family val="2"/>
    </font>
    <font>
      <b/>
      <sz val="22"/>
      <color theme="0"/>
      <name val="Segoe Script"/>
      <family val="2"/>
    </font>
    <font>
      <b/>
      <sz val="13"/>
      <color theme="0"/>
      <name val="Segoe Script"/>
      <family val="2"/>
    </font>
    <font>
      <sz val="20"/>
      <color theme="0"/>
      <name val="Segoe Print"/>
    </font>
    <font>
      <b/>
      <sz val="12"/>
      <color theme="0"/>
      <name val="Segoe Script"/>
      <family val="2"/>
    </font>
    <font>
      <sz val="26"/>
      <color theme="0"/>
      <name val="Arial"/>
      <family val="2"/>
    </font>
    <font>
      <b/>
      <sz val="20"/>
      <color theme="0"/>
      <name val="Segoe Script"/>
      <family val="2"/>
    </font>
    <font>
      <b/>
      <sz val="18"/>
      <color theme="0"/>
      <name val="Segoe Script"/>
      <family val="2"/>
    </font>
    <font>
      <b/>
      <sz val="14"/>
      <color theme="0"/>
      <name val="Segoe Script"/>
      <family val="2"/>
    </font>
    <font>
      <sz val="11"/>
      <color theme="1"/>
      <name val="Book antiqua"/>
      <family val="1"/>
    </font>
    <font>
      <i/>
      <sz val="11"/>
      <color indexed="8"/>
      <name val="Book Antiqua"/>
      <family val="1"/>
    </font>
    <font>
      <b/>
      <i/>
      <sz val="11"/>
      <color indexed="8"/>
      <name val="Rockwell"/>
      <family val="1"/>
    </font>
    <font>
      <i/>
      <sz val="10"/>
      <color indexed="8"/>
      <name val="Rockwell"/>
      <family val="1"/>
    </font>
    <font>
      <sz val="8"/>
      <name val="Book Antiqua"/>
      <family val="1"/>
    </font>
    <font>
      <sz val="9"/>
      <name val="Book Antiqua"/>
      <family val="1"/>
    </font>
    <font>
      <sz val="11"/>
      <color rgb="FFFF0000"/>
      <name val="Calibri"/>
      <family val="2"/>
    </font>
    <font>
      <b/>
      <sz val="13"/>
      <name val="Perpetua"/>
      <family val="1"/>
    </font>
    <font>
      <b/>
      <sz val="13"/>
      <name val="Candara"/>
      <family val="2"/>
    </font>
    <font>
      <b/>
      <sz val="12"/>
      <name val="Cambria"/>
      <family val="1"/>
      <scheme val="major"/>
    </font>
    <font>
      <sz val="10"/>
      <name val="Perpetua"/>
      <family val="1"/>
    </font>
    <font>
      <sz val="11"/>
      <color indexed="8"/>
      <name val="Perpetua"/>
      <family val="1"/>
    </font>
    <font>
      <b/>
      <sz val="11"/>
      <color rgb="FF000000"/>
      <name val="Times New Roman"/>
      <family val="1"/>
    </font>
    <font>
      <sz val="11"/>
      <color rgb="FF000000"/>
      <name val="Times New Roman"/>
      <family val="1"/>
    </font>
  </fonts>
  <fills count="56">
    <fill>
      <patternFill patternType="none"/>
    </fill>
    <fill>
      <patternFill patternType="gray125"/>
    </fill>
    <fill>
      <patternFill patternType="solid">
        <fgColor indexed="27"/>
        <bgColor indexed="26"/>
      </patternFill>
    </fill>
    <fill>
      <patternFill patternType="solid">
        <fgColor indexed="55"/>
        <bgColor indexed="24"/>
      </patternFill>
    </fill>
    <fill>
      <patternFill patternType="solid">
        <fgColor indexed="22"/>
        <bgColor indexed="31"/>
      </patternFill>
    </fill>
    <fill>
      <patternFill patternType="solid">
        <fgColor indexed="31"/>
        <bgColor indexed="22"/>
      </patternFill>
    </fill>
    <fill>
      <patternFill patternType="solid">
        <fgColor indexed="41"/>
        <bgColor indexed="42"/>
      </patternFill>
    </fill>
    <fill>
      <patternFill patternType="solid">
        <fgColor indexed="54"/>
        <bgColor indexed="23"/>
      </patternFill>
    </fill>
    <fill>
      <patternFill patternType="solid">
        <fgColor indexed="9"/>
        <bgColor indexed="26"/>
      </patternFill>
    </fill>
    <fill>
      <patternFill patternType="solid">
        <fgColor indexed="42"/>
        <bgColor indexed="43"/>
      </patternFill>
    </fill>
    <fill>
      <patternFill patternType="solid">
        <fgColor indexed="43"/>
        <bgColor indexed="27"/>
      </patternFill>
    </fill>
    <fill>
      <patternFill patternType="solid">
        <fgColor indexed="47"/>
        <bgColor indexed="43"/>
      </patternFill>
    </fill>
    <fill>
      <patternFill patternType="solid">
        <fgColor indexed="23"/>
        <bgColor indexed="54"/>
      </patternFill>
    </fill>
    <fill>
      <patternFill patternType="solid">
        <fgColor indexed="19"/>
        <bgColor indexed="54"/>
      </patternFill>
    </fill>
    <fill>
      <patternFill patternType="solid">
        <fgColor theme="0"/>
        <bgColor indexed="64"/>
      </patternFill>
    </fill>
    <fill>
      <patternFill patternType="solid">
        <fgColor indexed="24"/>
        <bgColor indexed="23"/>
      </patternFill>
    </fill>
    <fill>
      <patternFill patternType="solid">
        <fgColor theme="7" tint="0.79998168889431442"/>
        <bgColor indexed="45"/>
      </patternFill>
    </fill>
    <fill>
      <patternFill patternType="solid">
        <fgColor indexed="22"/>
        <bgColor indexed="55"/>
      </patternFill>
    </fill>
    <fill>
      <patternFill patternType="solid">
        <fgColor indexed="44"/>
        <bgColor indexed="40"/>
      </patternFill>
    </fill>
    <fill>
      <patternFill patternType="solid">
        <fgColor indexed="46"/>
        <bgColor indexed="55"/>
      </patternFill>
    </fill>
    <fill>
      <patternFill patternType="solid">
        <fgColor indexed="34"/>
        <bgColor indexed="43"/>
      </patternFill>
    </fill>
    <fill>
      <patternFill patternType="solid">
        <fgColor indexed="41"/>
        <bgColor indexed="27"/>
      </patternFill>
    </fill>
    <fill>
      <patternFill patternType="solid">
        <fgColor indexed="49"/>
        <bgColor indexed="13"/>
      </patternFill>
    </fill>
    <fill>
      <patternFill patternType="solid">
        <fgColor indexed="51"/>
        <bgColor indexed="13"/>
      </patternFill>
    </fill>
    <fill>
      <patternFill patternType="solid">
        <fgColor indexed="52"/>
        <bgColor indexed="50"/>
      </patternFill>
    </fill>
    <fill>
      <patternFill patternType="solid">
        <fgColor indexed="25"/>
        <bgColor indexed="29"/>
      </patternFill>
    </fill>
    <fill>
      <patternFill patternType="solid">
        <fgColor indexed="55"/>
        <bgColor indexed="22"/>
      </patternFill>
    </fill>
    <fill>
      <patternFill patternType="solid">
        <fgColor indexed="43"/>
        <bgColor indexed="34"/>
      </patternFill>
    </fill>
    <fill>
      <patternFill patternType="solid">
        <fgColor indexed="13"/>
        <bgColor indexed="51"/>
      </patternFill>
    </fill>
    <fill>
      <patternFill patternType="solid">
        <fgColor rgb="FF92D050"/>
        <bgColor indexed="64"/>
      </patternFill>
    </fill>
    <fill>
      <patternFill patternType="solid">
        <fgColor rgb="FF92D050"/>
        <bgColor indexed="55"/>
      </patternFill>
    </fill>
    <fill>
      <patternFill patternType="solid">
        <fgColor rgb="FFAAC56D"/>
        <bgColor theme="6" tint="0.39985351115451523"/>
      </patternFill>
    </fill>
    <fill>
      <patternFill patternType="solid">
        <fgColor rgb="FF8CC6AC"/>
        <bgColor indexed="64"/>
      </patternFill>
    </fill>
    <fill>
      <patternFill patternType="solid">
        <fgColor rgb="FF92D050"/>
        <bgColor indexed="31"/>
      </patternFill>
    </fill>
    <fill>
      <patternFill patternType="solid">
        <fgColor rgb="FF8CC6AC"/>
        <bgColor indexed="26"/>
      </patternFill>
    </fill>
    <fill>
      <patternFill patternType="solid">
        <fgColor theme="4" tint="0.39997558519241921"/>
        <bgColor indexed="64"/>
      </patternFill>
    </fill>
    <fill>
      <patternFill patternType="solid">
        <fgColor theme="4" tint="0.39997558519241921"/>
        <bgColor indexed="26"/>
      </patternFill>
    </fill>
    <fill>
      <patternFill patternType="solid">
        <fgColor theme="6" tint="0.39997558519241921"/>
        <bgColor indexed="64"/>
      </patternFill>
    </fill>
    <fill>
      <patternFill patternType="solid">
        <fgColor theme="0"/>
        <bgColor indexed="22"/>
      </patternFill>
    </fill>
    <fill>
      <patternFill patternType="solid">
        <fgColor theme="3" tint="0.59999389629810485"/>
        <bgColor indexed="26"/>
      </patternFill>
    </fill>
    <fill>
      <patternFill patternType="solid">
        <fgColor theme="3" tint="0.59999389629810485"/>
        <bgColor indexed="64"/>
      </patternFill>
    </fill>
    <fill>
      <patternFill patternType="solid">
        <fgColor rgb="FFAAC56D"/>
        <bgColor indexed="31"/>
      </patternFill>
    </fill>
    <fill>
      <patternFill patternType="solid">
        <fgColor rgb="FFAAC56D"/>
        <bgColor indexed="55"/>
      </patternFill>
    </fill>
    <fill>
      <patternFill patternType="solid">
        <fgColor rgb="FFAAC56D"/>
        <bgColor indexed="44"/>
      </patternFill>
    </fill>
    <fill>
      <patternFill patternType="solid">
        <fgColor rgb="FFAAC56D"/>
        <bgColor indexed="64"/>
      </patternFill>
    </fill>
    <fill>
      <patternFill patternType="solid">
        <fgColor rgb="FFA8C36B"/>
        <bgColor indexed="64"/>
      </patternFill>
    </fill>
    <fill>
      <patternFill patternType="solid">
        <fgColor rgb="FFA8C36B"/>
        <bgColor indexed="27"/>
      </patternFill>
    </fill>
    <fill>
      <patternFill patternType="solid">
        <fgColor rgb="FFA8C36B"/>
        <bgColor indexed="26"/>
      </patternFill>
    </fill>
    <fill>
      <patternFill patternType="solid">
        <fgColor theme="0" tint="-4.9989318521683403E-2"/>
        <bgColor indexed="64"/>
      </patternFill>
    </fill>
    <fill>
      <patternFill patternType="solid">
        <fgColor theme="0" tint="-4.9989318521683403E-2"/>
        <bgColor indexed="26"/>
      </patternFill>
    </fill>
    <fill>
      <patternFill patternType="solid">
        <fgColor rgb="FFFF0000"/>
        <bgColor indexed="64"/>
      </patternFill>
    </fill>
    <fill>
      <patternFill patternType="solid">
        <fgColor theme="5" tint="0.79998168889431442"/>
        <bgColor indexed="26"/>
      </patternFill>
    </fill>
    <fill>
      <patternFill patternType="solid">
        <fgColor theme="9" tint="0.39997558519241921"/>
        <bgColor indexed="64"/>
      </patternFill>
    </fill>
    <fill>
      <patternFill patternType="solid">
        <fgColor theme="9" tint="0.39997558519241921"/>
        <bgColor indexed="26"/>
      </patternFill>
    </fill>
    <fill>
      <patternFill patternType="solid">
        <fgColor rgb="FFFFFFFF"/>
        <bgColor indexed="64"/>
      </patternFill>
    </fill>
    <fill>
      <patternFill patternType="solid">
        <fgColor rgb="FFD8D8D8"/>
        <bgColor indexed="64"/>
      </patternFill>
    </fill>
  </fills>
  <borders count="58">
    <border>
      <left/>
      <right/>
      <top/>
      <bottom/>
      <diagonal/>
    </border>
    <border>
      <left style="medium">
        <color indexed="8"/>
      </left>
      <right/>
      <top/>
      <bottom/>
      <diagonal/>
    </border>
    <border>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right style="medium">
        <color indexed="8"/>
      </right>
      <top style="medium">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medium">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top/>
      <bottom style="medium">
        <color indexed="8"/>
      </bottom>
      <diagonal/>
    </border>
    <border>
      <left style="thin">
        <color indexed="8"/>
      </left>
      <right/>
      <top/>
      <bottom style="thin">
        <color indexed="8"/>
      </bottom>
      <diagonal/>
    </border>
    <border>
      <left/>
      <right style="medium">
        <color indexed="8"/>
      </right>
      <top/>
      <bottom style="medium">
        <color indexed="8"/>
      </bottom>
      <diagonal/>
    </border>
    <border>
      <left style="medium">
        <color indexed="8"/>
      </left>
      <right style="medium">
        <color indexed="8"/>
      </right>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style="thin">
        <color indexed="8"/>
      </right>
      <top style="medium">
        <color indexed="8"/>
      </top>
      <bottom/>
      <diagonal/>
    </border>
    <border>
      <left/>
      <right style="thin">
        <color indexed="8"/>
      </right>
      <top style="medium">
        <color indexed="8"/>
      </top>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8"/>
      </left>
      <right/>
      <top style="medium">
        <color indexed="8"/>
      </top>
      <bottom/>
      <diagonal/>
    </border>
    <border>
      <left style="thin">
        <color indexed="8"/>
      </left>
      <right style="medium">
        <color indexed="8"/>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76" fillId="0" borderId="0"/>
    <xf numFmtId="0" fontId="76" fillId="0" borderId="0"/>
  </cellStyleXfs>
  <cellXfs count="1128">
    <xf numFmtId="0" fontId="0" fillId="0" borderId="0" xfId="0"/>
    <xf numFmtId="0" fontId="2" fillId="2" borderId="0" xfId="0" applyFont="1" applyFill="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horizontal="center" vertical="center"/>
    </xf>
    <xf numFmtId="0" fontId="9" fillId="2" borderId="0" xfId="0" applyFont="1" applyFill="1" applyAlignment="1">
      <alignment horizontal="center" vertical="center"/>
    </xf>
    <xf numFmtId="0" fontId="1" fillId="0" borderId="0" xfId="6"/>
    <xf numFmtId="0" fontId="76" fillId="0" borderId="0" xfId="7" applyAlignment="1">
      <alignment wrapText="1"/>
    </xf>
    <xf numFmtId="0" fontId="1" fillId="0" borderId="0" xfId="6" applyAlignment="1">
      <alignment wrapText="1"/>
    </xf>
    <xf numFmtId="0" fontId="16" fillId="3" borderId="1" xfId="6" applyFont="1" applyFill="1" applyBorder="1" applyAlignment="1">
      <alignment wrapText="1"/>
    </xf>
    <xf numFmtId="0" fontId="16" fillId="3" borderId="2" xfId="6" applyFont="1" applyFill="1" applyBorder="1" applyAlignment="1">
      <alignment wrapText="1"/>
    </xf>
    <xf numFmtId="0" fontId="19" fillId="0" borderId="0" xfId="7" applyFont="1" applyAlignment="1">
      <alignment wrapText="1"/>
    </xf>
    <xf numFmtId="0" fontId="17" fillId="0" borderId="8" xfId="6" applyFont="1" applyBorder="1" applyAlignment="1" applyProtection="1">
      <alignment wrapText="1"/>
      <protection locked="0"/>
    </xf>
    <xf numFmtId="0" fontId="18" fillId="4" borderId="9" xfId="6" applyFont="1" applyFill="1" applyBorder="1" applyAlignment="1" applyProtection="1">
      <alignment horizontal="center" vertical="center" wrapText="1"/>
      <protection locked="0"/>
    </xf>
    <xf numFmtId="0" fontId="17" fillId="0" borderId="13" xfId="6" applyFont="1" applyBorder="1" applyAlignment="1" applyProtection="1">
      <alignment horizontal="left" vertical="center" wrapText="1"/>
      <protection locked="0"/>
    </xf>
    <xf numFmtId="0" fontId="18" fillId="4" borderId="13" xfId="6" applyFont="1" applyFill="1" applyBorder="1" applyAlignment="1" applyProtection="1">
      <alignment horizontal="center" vertical="center"/>
      <protection locked="0"/>
    </xf>
    <xf numFmtId="0" fontId="76" fillId="0" borderId="0" xfId="7"/>
    <xf numFmtId="0" fontId="17" fillId="6" borderId="9" xfId="6" applyFont="1" applyFill="1" applyBorder="1" applyProtection="1">
      <protection hidden="1"/>
    </xf>
    <xf numFmtId="0" fontId="1" fillId="0" borderId="0" xfId="6" applyProtection="1">
      <protection hidden="1"/>
    </xf>
    <xf numFmtId="0" fontId="17" fillId="0" borderId="0" xfId="6" applyFont="1" applyProtection="1">
      <protection hidden="1"/>
    </xf>
    <xf numFmtId="0" fontId="15" fillId="7" borderId="0" xfId="6" applyFont="1" applyFill="1" applyAlignment="1" applyProtection="1">
      <alignment horizontal="center" vertical="center" wrapText="1"/>
      <protection hidden="1"/>
    </xf>
    <xf numFmtId="0" fontId="18" fillId="6" borderId="9" xfId="6" applyFont="1" applyFill="1" applyBorder="1" applyAlignment="1" applyProtection="1">
      <alignment wrapText="1"/>
      <protection hidden="1"/>
    </xf>
    <xf numFmtId="1" fontId="17" fillId="6" borderId="9" xfId="6" applyNumberFormat="1" applyFont="1" applyFill="1" applyBorder="1" applyProtection="1">
      <protection hidden="1"/>
    </xf>
    <xf numFmtId="1" fontId="18" fillId="6" borderId="14" xfId="6" applyNumberFormat="1" applyFont="1" applyFill="1" applyBorder="1" applyAlignment="1" applyProtection="1">
      <alignment horizontal="right"/>
      <protection hidden="1"/>
    </xf>
    <xf numFmtId="0" fontId="18" fillId="0" borderId="0" xfId="6" applyFont="1" applyFill="1" applyBorder="1" applyAlignment="1" applyProtection="1">
      <alignment horizontal="center"/>
      <protection locked="0"/>
    </xf>
    <xf numFmtId="0" fontId="21" fillId="0" borderId="0" xfId="7" applyFont="1" applyFill="1" applyBorder="1" applyAlignment="1" applyProtection="1">
      <alignment wrapText="1"/>
      <protection locked="0"/>
    </xf>
    <xf numFmtId="0" fontId="23" fillId="0" borderId="0" xfId="6" applyFont="1" applyBorder="1" applyAlignment="1">
      <alignment horizontal="center" vertical="center"/>
    </xf>
    <xf numFmtId="0" fontId="18" fillId="0" borderId="0" xfId="6" applyFont="1" applyFill="1" applyBorder="1" applyAlignment="1" applyProtection="1">
      <alignment wrapText="1"/>
      <protection locked="0"/>
    </xf>
    <xf numFmtId="0" fontId="21" fillId="0" borderId="0" xfId="7" applyFont="1" applyBorder="1" applyAlignment="1">
      <alignment horizontal="center" vertical="center" wrapText="1"/>
    </xf>
    <xf numFmtId="0" fontId="1" fillId="0" borderId="0" xfId="6" applyBorder="1"/>
    <xf numFmtId="0" fontId="18" fillId="0" borderId="0" xfId="6" applyFont="1" applyBorder="1" applyAlignment="1">
      <alignment horizontal="center" vertical="center" wrapText="1"/>
    </xf>
    <xf numFmtId="1" fontId="21" fillId="0" borderId="0" xfId="7" applyNumberFormat="1" applyFont="1" applyBorder="1" applyAlignment="1">
      <alignment horizontal="center" vertical="center"/>
    </xf>
    <xf numFmtId="1" fontId="18" fillId="0" borderId="0" xfId="6" applyNumberFormat="1" applyFont="1" applyBorder="1" applyAlignment="1">
      <alignment horizontal="center" vertical="center"/>
    </xf>
    <xf numFmtId="0" fontId="17" fillId="0" borderId="0" xfId="6" applyFont="1"/>
    <xf numFmtId="0" fontId="18" fillId="0" borderId="0" xfId="6" applyFont="1" applyBorder="1" applyAlignment="1">
      <alignment wrapText="1"/>
    </xf>
    <xf numFmtId="0" fontId="18" fillId="0" borderId="0" xfId="6" applyFont="1" applyBorder="1" applyAlignment="1">
      <alignment horizontal="center" vertical="center"/>
    </xf>
    <xf numFmtId="1" fontId="23" fillId="0" borderId="0" xfId="6" applyNumberFormat="1" applyFont="1" applyBorder="1" applyAlignment="1">
      <alignment horizontal="center" vertical="center"/>
    </xf>
    <xf numFmtId="0" fontId="21" fillId="0" borderId="0" xfId="7" applyFont="1" applyFill="1" applyBorder="1" applyAlignment="1" applyProtection="1">
      <alignment horizontal="center"/>
      <protection locked="0"/>
    </xf>
    <xf numFmtId="0" fontId="17" fillId="0" borderId="0" xfId="6" applyFont="1" applyBorder="1"/>
    <xf numFmtId="165" fontId="21" fillId="0" borderId="0" xfId="7" applyNumberFormat="1" applyFont="1" applyFill="1" applyBorder="1" applyAlignment="1">
      <alignment wrapText="1"/>
    </xf>
    <xf numFmtId="0" fontId="17" fillId="0" borderId="0" xfId="6" applyFont="1" applyAlignment="1">
      <alignment wrapText="1"/>
    </xf>
    <xf numFmtId="0" fontId="24" fillId="0" borderId="0" xfId="7" applyFont="1" applyBorder="1" applyAlignment="1">
      <alignment horizontal="center" vertical="center" wrapText="1"/>
    </xf>
    <xf numFmtId="1" fontId="24" fillId="0" borderId="0" xfId="7" applyNumberFormat="1" applyFont="1" applyBorder="1" applyAlignment="1">
      <alignment horizontal="center" vertical="center"/>
    </xf>
    <xf numFmtId="0" fontId="18" fillId="0" borderId="0" xfId="6" applyFont="1" applyBorder="1" applyAlignment="1">
      <alignment horizontal="left" vertical="center" wrapText="1"/>
    </xf>
    <xf numFmtId="1" fontId="25" fillId="0" borderId="0" xfId="7" applyNumberFormat="1" applyFont="1" applyBorder="1" applyAlignment="1">
      <alignment horizontal="center" vertical="center"/>
    </xf>
    <xf numFmtId="1" fontId="18" fillId="0" borderId="0" xfId="6" applyNumberFormat="1" applyFont="1" applyBorder="1" applyAlignment="1">
      <alignment horizontal="center"/>
    </xf>
    <xf numFmtId="0" fontId="23" fillId="0" borderId="0" xfId="6" applyFont="1" applyBorder="1" applyAlignment="1">
      <alignment wrapText="1"/>
    </xf>
    <xf numFmtId="0" fontId="1" fillId="0" borderId="0" xfId="6" applyBorder="1" applyAlignment="1">
      <alignment horizontal="center"/>
    </xf>
    <xf numFmtId="0" fontId="26" fillId="0" borderId="0" xfId="6" applyFont="1" applyBorder="1" applyAlignment="1">
      <alignment horizontal="center"/>
    </xf>
    <xf numFmtId="14" fontId="1" fillId="0" borderId="0" xfId="6" applyNumberFormat="1" applyFont="1" applyBorder="1" applyAlignment="1">
      <alignment horizontal="center"/>
    </xf>
    <xf numFmtId="0" fontId="27" fillId="8" borderId="0" xfId="6" applyFont="1" applyFill="1"/>
    <xf numFmtId="16" fontId="27" fillId="8" borderId="0" xfId="6" applyNumberFormat="1" applyFont="1" applyFill="1"/>
    <xf numFmtId="0" fontId="3" fillId="8" borderId="0" xfId="7" applyFont="1" applyFill="1" applyAlignment="1" applyProtection="1">
      <alignment horizontal="center"/>
      <protection hidden="1"/>
    </xf>
    <xf numFmtId="0" fontId="1" fillId="0" borderId="0" xfId="6" applyFill="1"/>
    <xf numFmtId="16" fontId="1" fillId="0" borderId="0" xfId="6" applyNumberFormat="1" applyFill="1"/>
    <xf numFmtId="0" fontId="3" fillId="0" borderId="0" xfId="7" applyFont="1" applyFill="1" applyAlignment="1" applyProtection="1">
      <alignment horizontal="center"/>
      <protection hidden="1"/>
    </xf>
    <xf numFmtId="0" fontId="27" fillId="8" borderId="0" xfId="6" applyFont="1" applyFill="1" applyBorder="1"/>
    <xf numFmtId="0" fontId="3" fillId="8" borderId="0" xfId="7" applyFont="1" applyFill="1" applyBorder="1" applyAlignment="1" applyProtection="1">
      <alignment horizontal="center"/>
      <protection hidden="1"/>
    </xf>
    <xf numFmtId="0" fontId="27" fillId="0" borderId="0" xfId="6" applyFont="1" applyFill="1"/>
    <xf numFmtId="0" fontId="30" fillId="0" borderId="0" xfId="7" applyFont="1" applyFill="1" applyBorder="1" applyAlignment="1">
      <alignment horizontal="center" vertical="top" wrapText="1"/>
    </xf>
    <xf numFmtId="0" fontId="3" fillId="0" borderId="0" xfId="7" applyFont="1" applyFill="1" applyBorder="1" applyAlignment="1">
      <alignment vertical="top" wrapText="1"/>
    </xf>
    <xf numFmtId="0" fontId="32" fillId="0" borderId="0" xfId="7" applyFont="1" applyFill="1" applyBorder="1" applyAlignment="1">
      <alignment horizontal="center" vertical="top" wrapText="1"/>
    </xf>
    <xf numFmtId="0" fontId="30" fillId="0" borderId="0" xfId="7" applyFont="1" applyFill="1" applyBorder="1" applyAlignment="1">
      <alignment vertical="top" wrapText="1"/>
    </xf>
    <xf numFmtId="0" fontId="30" fillId="0" borderId="0" xfId="7" applyFont="1" applyFill="1" applyBorder="1" applyAlignment="1">
      <alignment horizontal="center" vertical="center" wrapText="1"/>
    </xf>
    <xf numFmtId="0" fontId="30" fillId="0" borderId="0" xfId="7" applyFont="1" applyFill="1" applyBorder="1" applyAlignment="1">
      <alignment vertical="center"/>
    </xf>
    <xf numFmtId="0" fontId="1" fillId="0" borderId="0" xfId="6" applyFill="1" applyAlignment="1">
      <alignment wrapText="1"/>
    </xf>
    <xf numFmtId="0" fontId="22" fillId="0" borderId="0" xfId="7" applyFont="1" applyProtection="1">
      <protection hidden="1"/>
    </xf>
    <xf numFmtId="0" fontId="17" fillId="5" borderId="8" xfId="6" applyFont="1" applyFill="1" applyBorder="1" applyProtection="1">
      <protection hidden="1"/>
    </xf>
    <xf numFmtId="164" fontId="17" fillId="5" borderId="8" xfId="6" applyNumberFormat="1" applyFont="1" applyFill="1" applyBorder="1" applyProtection="1">
      <protection hidden="1"/>
    </xf>
    <xf numFmtId="0" fontId="17" fillId="6" borderId="18" xfId="6" applyFont="1" applyFill="1" applyBorder="1" applyProtection="1">
      <protection hidden="1"/>
    </xf>
    <xf numFmtId="0" fontId="17" fillId="5" borderId="8" xfId="6" applyFont="1" applyFill="1" applyBorder="1" applyAlignment="1" applyProtection="1">
      <alignment wrapText="1"/>
      <protection hidden="1"/>
    </xf>
    <xf numFmtId="1" fontId="22" fillId="5" borderId="8" xfId="7" applyNumberFormat="1" applyFont="1" applyFill="1" applyBorder="1" applyAlignment="1" applyProtection="1">
      <alignment horizontal="right"/>
      <protection hidden="1"/>
    </xf>
    <xf numFmtId="0" fontId="17" fillId="6" borderId="18" xfId="6" applyFont="1" applyFill="1" applyBorder="1" applyAlignment="1" applyProtection="1">
      <alignment horizontal="center"/>
      <protection hidden="1"/>
    </xf>
    <xf numFmtId="2" fontId="17" fillId="5" borderId="8" xfId="6" applyNumberFormat="1" applyFont="1" applyFill="1" applyBorder="1" applyAlignment="1" applyProtection="1">
      <alignment wrapText="1"/>
      <protection hidden="1"/>
    </xf>
    <xf numFmtId="1" fontId="17" fillId="5" borderId="8" xfId="6" applyNumberFormat="1" applyFont="1" applyFill="1" applyBorder="1" applyAlignment="1" applyProtection="1">
      <alignment horizontal="right"/>
      <protection hidden="1"/>
    </xf>
    <xf numFmtId="0" fontId="17" fillId="6" borderId="19" xfId="6" applyFont="1" applyFill="1" applyBorder="1" applyAlignment="1" applyProtection="1">
      <alignment wrapText="1"/>
      <protection hidden="1"/>
    </xf>
    <xf numFmtId="0" fontId="15" fillId="7" borderId="8" xfId="6" applyFont="1" applyFill="1" applyBorder="1" applyAlignment="1" applyProtection="1">
      <alignment horizontal="center" vertical="center" wrapText="1"/>
      <protection hidden="1"/>
    </xf>
    <xf numFmtId="1" fontId="15" fillId="7" borderId="8" xfId="6" applyNumberFormat="1" applyFont="1" applyFill="1" applyBorder="1" applyAlignment="1" applyProtection="1">
      <alignment horizontal="center" vertical="center" wrapText="1"/>
      <protection hidden="1"/>
    </xf>
    <xf numFmtId="1" fontId="17" fillId="5" borderId="8" xfId="6" applyNumberFormat="1" applyFont="1" applyFill="1" applyBorder="1" applyProtection="1">
      <protection hidden="1"/>
    </xf>
    <xf numFmtId="0" fontId="17" fillId="6" borderId="20" xfId="6" applyFont="1" applyFill="1" applyBorder="1" applyProtection="1">
      <protection hidden="1"/>
    </xf>
    <xf numFmtId="0" fontId="18" fillId="0" borderId="0" xfId="6" applyFont="1" applyFill="1" applyBorder="1" applyAlignment="1" applyProtection="1">
      <alignment horizontal="center"/>
      <protection hidden="1"/>
    </xf>
    <xf numFmtId="0" fontId="18" fillId="5" borderId="8" xfId="6" applyFont="1" applyFill="1" applyBorder="1" applyProtection="1">
      <protection hidden="1"/>
    </xf>
    <xf numFmtId="1" fontId="18" fillId="5" borderId="8" xfId="6" applyNumberFormat="1" applyFont="1" applyFill="1" applyBorder="1" applyProtection="1">
      <protection hidden="1"/>
    </xf>
    <xf numFmtId="0" fontId="23" fillId="0" borderId="0" xfId="6" applyFont="1" applyBorder="1" applyAlignment="1" applyProtection="1">
      <alignment horizontal="center" vertical="center"/>
      <protection hidden="1"/>
    </xf>
    <xf numFmtId="0" fontId="27" fillId="0" borderId="0" xfId="6" applyFont="1" applyFill="1" applyBorder="1"/>
    <xf numFmtId="0" fontId="3" fillId="0" borderId="0" xfId="7" applyFont="1" applyFill="1" applyBorder="1" applyAlignment="1" applyProtection="1">
      <alignment horizontal="center"/>
      <protection hidden="1"/>
    </xf>
    <xf numFmtId="0" fontId="1" fillId="0" borderId="0" xfId="6" applyProtection="1">
      <protection locked="0"/>
    </xf>
    <xf numFmtId="0" fontId="1" fillId="0" borderId="0" xfId="6" applyBorder="1" applyProtection="1">
      <protection hidden="1"/>
    </xf>
    <xf numFmtId="0" fontId="28" fillId="0" borderId="0" xfId="6" applyFont="1" applyFill="1" applyBorder="1" applyAlignment="1"/>
    <xf numFmtId="16" fontId="27" fillId="0" borderId="0" xfId="6" applyNumberFormat="1" applyFont="1" applyFill="1" applyBorder="1"/>
    <xf numFmtId="0" fontId="36" fillId="0" borderId="0" xfId="7" applyFont="1" applyFill="1" applyBorder="1" applyAlignment="1">
      <alignment horizontal="center" vertical="top" wrapText="1"/>
    </xf>
    <xf numFmtId="0" fontId="1" fillId="8" borderId="0" xfId="6" applyFill="1"/>
    <xf numFmtId="0" fontId="32" fillId="8" borderId="0" xfId="7" applyFont="1" applyFill="1" applyBorder="1" applyAlignment="1">
      <alignment horizontal="center" vertical="top" wrapText="1"/>
    </xf>
    <xf numFmtId="0" fontId="38" fillId="0" borderId="0" xfId="6" applyFont="1" applyAlignment="1">
      <alignment wrapText="1"/>
    </xf>
    <xf numFmtId="0" fontId="18" fillId="4" borderId="8" xfId="0" applyFont="1" applyFill="1" applyBorder="1" applyAlignment="1" applyProtection="1">
      <alignment horizontal="center" vertical="center"/>
      <protection locked="0"/>
    </xf>
    <xf numFmtId="0" fontId="38" fillId="0" borderId="0" xfId="6" applyFont="1"/>
    <xf numFmtId="0" fontId="38" fillId="0" borderId="0" xfId="6" applyFont="1" applyProtection="1">
      <protection hidden="1"/>
    </xf>
    <xf numFmtId="0" fontId="1" fillId="8" borderId="0" xfId="6" applyFill="1" applyProtection="1">
      <protection hidden="1"/>
    </xf>
    <xf numFmtId="0" fontId="1" fillId="0" borderId="0" xfId="6" applyFill="1" applyProtection="1">
      <protection hidden="1"/>
    </xf>
    <xf numFmtId="0" fontId="1" fillId="8" borderId="0" xfId="6" applyFill="1" applyAlignment="1" applyProtection="1">
      <alignment wrapText="1"/>
      <protection hidden="1"/>
    </xf>
    <xf numFmtId="0" fontId="38" fillId="8" borderId="0" xfId="6" applyFont="1" applyFill="1" applyProtection="1">
      <protection hidden="1"/>
    </xf>
    <xf numFmtId="0" fontId="18" fillId="0" borderId="0" xfId="6" applyFont="1" applyFill="1" applyBorder="1" applyAlignment="1" applyProtection="1">
      <alignment horizontal="center" vertical="center" wrapText="1"/>
      <protection hidden="1"/>
    </xf>
    <xf numFmtId="0" fontId="17" fillId="0" borderId="0" xfId="6" applyFont="1" applyFill="1" applyProtection="1">
      <protection hidden="1"/>
    </xf>
    <xf numFmtId="1" fontId="23" fillId="0" borderId="0" xfId="6" applyNumberFormat="1" applyFont="1" applyFill="1" applyBorder="1" applyAlignment="1" applyProtection="1">
      <alignment horizontal="center" vertical="center"/>
      <protection hidden="1"/>
    </xf>
    <xf numFmtId="0" fontId="23" fillId="0" borderId="0" xfId="6" applyFont="1" applyFill="1" applyBorder="1" applyAlignment="1" applyProtection="1">
      <alignment wrapText="1"/>
      <protection hidden="1"/>
    </xf>
    <xf numFmtId="0" fontId="1" fillId="0" borderId="0" xfId="6" applyFill="1" applyBorder="1" applyProtection="1">
      <protection hidden="1"/>
    </xf>
    <xf numFmtId="0" fontId="1" fillId="0" borderId="0" xfId="6" applyFill="1" applyBorder="1" applyAlignment="1" applyProtection="1">
      <alignment horizontal="center"/>
      <protection hidden="1"/>
    </xf>
    <xf numFmtId="0" fontId="26" fillId="0" borderId="0" xfId="6" applyFont="1" applyFill="1" applyBorder="1" applyAlignment="1" applyProtection="1">
      <alignment horizontal="center"/>
      <protection hidden="1"/>
    </xf>
    <xf numFmtId="0" fontId="27" fillId="0" borderId="0" xfId="6" applyFont="1" applyFill="1" applyProtection="1">
      <protection hidden="1"/>
    </xf>
    <xf numFmtId="0" fontId="27" fillId="8" borderId="0" xfId="6" applyFont="1" applyFill="1" applyProtection="1">
      <protection hidden="1"/>
    </xf>
    <xf numFmtId="0" fontId="40" fillId="0" borderId="0" xfId="6" applyFont="1" applyFill="1" applyProtection="1">
      <protection hidden="1"/>
    </xf>
    <xf numFmtId="0" fontId="15" fillId="4" borderId="29" xfId="6" applyFont="1" applyFill="1" applyBorder="1" applyAlignment="1" applyProtection="1">
      <alignment horizontal="center"/>
      <protection locked="0"/>
    </xf>
    <xf numFmtId="0" fontId="15" fillId="4" borderId="26" xfId="6" applyFont="1" applyFill="1" applyBorder="1" applyAlignment="1" applyProtection="1">
      <alignment horizontal="center"/>
      <protection locked="0"/>
    </xf>
    <xf numFmtId="0" fontId="76" fillId="0" borderId="0" xfId="7" applyProtection="1">
      <protection locked="0"/>
    </xf>
    <xf numFmtId="0" fontId="15" fillId="4" borderId="31" xfId="6" applyFont="1" applyFill="1" applyBorder="1" applyAlignment="1" applyProtection="1">
      <alignment horizontal="center"/>
      <protection locked="0"/>
    </xf>
    <xf numFmtId="0" fontId="25" fillId="4" borderId="8" xfId="7" applyFont="1" applyFill="1" applyBorder="1" applyAlignment="1" applyProtection="1">
      <alignment horizontal="center"/>
      <protection locked="0"/>
    </xf>
    <xf numFmtId="0" fontId="44" fillId="0" borderId="7" xfId="6" applyFont="1" applyBorder="1" applyProtection="1">
      <protection locked="0"/>
    </xf>
    <xf numFmtId="0" fontId="76" fillId="0" borderId="33" xfId="7" applyBorder="1"/>
    <xf numFmtId="0" fontId="76" fillId="0" borderId="0" xfId="7" applyBorder="1" applyProtection="1">
      <protection hidden="1"/>
    </xf>
    <xf numFmtId="0" fontId="17" fillId="5" borderId="8" xfId="6" applyFont="1" applyFill="1" applyBorder="1" applyAlignment="1" applyProtection="1">
      <protection hidden="1"/>
    </xf>
    <xf numFmtId="0" fontId="47" fillId="5" borderId="8" xfId="6" applyFont="1" applyFill="1" applyBorder="1" applyAlignment="1" applyProtection="1">
      <alignment horizontal="left" wrapText="1"/>
      <protection hidden="1"/>
    </xf>
    <xf numFmtId="0" fontId="47" fillId="5" borderId="8" xfId="6" applyFont="1" applyFill="1" applyBorder="1" applyAlignment="1" applyProtection="1">
      <protection hidden="1"/>
    </xf>
    <xf numFmtId="0" fontId="76" fillId="0" borderId="0" xfId="7" applyBorder="1" applyAlignment="1" applyProtection="1">
      <alignment horizontal="center"/>
      <protection hidden="1"/>
    </xf>
    <xf numFmtId="0" fontId="47" fillId="5" borderId="8" xfId="6" applyFont="1" applyFill="1" applyBorder="1" applyAlignment="1" applyProtection="1">
      <alignment horizontal="left" vertical="center"/>
      <protection hidden="1"/>
    </xf>
    <xf numFmtId="0" fontId="1" fillId="0" borderId="0" xfId="6" applyBorder="1" applyAlignment="1" applyProtection="1">
      <alignment horizontal="center"/>
      <protection hidden="1"/>
    </xf>
    <xf numFmtId="1" fontId="47" fillId="5" borderId="8" xfId="6" applyNumberFormat="1" applyFont="1" applyFill="1" applyBorder="1" applyAlignment="1" applyProtection="1">
      <alignment horizontal="right"/>
      <protection hidden="1"/>
    </xf>
    <xf numFmtId="0" fontId="46" fillId="5" borderId="8" xfId="1" applyFont="1" applyFill="1" applyBorder="1" applyAlignment="1" applyProtection="1">
      <alignment horizontal="left" vertical="center"/>
      <protection hidden="1"/>
    </xf>
    <xf numFmtId="0" fontId="44" fillId="5" borderId="8" xfId="6" applyFont="1" applyFill="1" applyBorder="1" applyAlignment="1" applyProtection="1">
      <alignment horizontal="left"/>
      <protection hidden="1"/>
    </xf>
    <xf numFmtId="0" fontId="0" fillId="0" borderId="0" xfId="1" applyFont="1" applyBorder="1" applyProtection="1">
      <protection hidden="1"/>
    </xf>
    <xf numFmtId="0" fontId="48" fillId="0" borderId="0" xfId="7" applyFont="1" applyBorder="1" applyAlignment="1" applyProtection="1">
      <alignment wrapText="1"/>
      <protection hidden="1"/>
    </xf>
    <xf numFmtId="0" fontId="49" fillId="0" borderId="0" xfId="6" applyFont="1" applyBorder="1" applyAlignment="1" applyProtection="1">
      <alignment horizontal="center"/>
      <protection hidden="1"/>
    </xf>
    <xf numFmtId="0" fontId="48" fillId="0" borderId="0" xfId="7" applyFont="1" applyBorder="1" applyAlignment="1" applyProtection="1">
      <alignment horizontal="center"/>
      <protection hidden="1"/>
    </xf>
    <xf numFmtId="0" fontId="50" fillId="0" borderId="0" xfId="6" applyFont="1" applyBorder="1" applyAlignment="1" applyProtection="1">
      <alignment horizontal="center"/>
      <protection hidden="1"/>
    </xf>
    <xf numFmtId="0" fontId="26" fillId="0" borderId="0" xfId="6" applyFont="1" applyBorder="1" applyAlignment="1" applyProtection="1">
      <alignment horizontal="center"/>
      <protection hidden="1"/>
    </xf>
    <xf numFmtId="14" fontId="50" fillId="0" borderId="0" xfId="6" applyNumberFormat="1" applyFont="1" applyBorder="1" applyAlignment="1" applyProtection="1">
      <alignment horizontal="center"/>
      <protection hidden="1"/>
    </xf>
    <xf numFmtId="0" fontId="0" fillId="0" borderId="0" xfId="7" applyFont="1" applyBorder="1" applyAlignment="1" applyProtection="1">
      <alignment horizontal="center"/>
      <protection hidden="1"/>
    </xf>
    <xf numFmtId="0" fontId="51" fillId="0" borderId="0" xfId="7" applyFont="1" applyBorder="1" applyAlignment="1" applyProtection="1">
      <alignment horizontal="center"/>
      <protection hidden="1"/>
    </xf>
    <xf numFmtId="0" fontId="26" fillId="0" borderId="0" xfId="6" applyFont="1"/>
    <xf numFmtId="0" fontId="48" fillId="0" borderId="0" xfId="7" applyNumberFormat="1" applyFont="1" applyBorder="1" applyAlignment="1" applyProtection="1">
      <alignment horizontal="center"/>
      <protection hidden="1"/>
    </xf>
    <xf numFmtId="0" fontId="52" fillId="0" borderId="0" xfId="6" applyFont="1" applyBorder="1" applyProtection="1">
      <protection hidden="1"/>
    </xf>
    <xf numFmtId="0" fontId="49" fillId="0" borderId="0" xfId="6" applyFont="1" applyBorder="1" applyProtection="1">
      <protection hidden="1"/>
    </xf>
    <xf numFmtId="0" fontId="53" fillId="8" borderId="0" xfId="7" applyFont="1" applyFill="1" applyBorder="1" applyAlignment="1">
      <alignment horizontal="center" vertical="top" wrapText="1"/>
    </xf>
    <xf numFmtId="0" fontId="53" fillId="8" borderId="0" xfId="7" applyFont="1" applyFill="1" applyBorder="1" applyAlignment="1">
      <alignment vertical="top" wrapText="1"/>
    </xf>
    <xf numFmtId="0" fontId="76" fillId="8" borderId="0" xfId="7" applyFill="1" applyBorder="1" applyAlignment="1">
      <alignment vertical="top" wrapText="1"/>
    </xf>
    <xf numFmtId="0" fontId="38" fillId="0" borderId="0" xfId="6" applyFont="1" applyFill="1"/>
    <xf numFmtId="0" fontId="28" fillId="8" borderId="0" xfId="6" applyFont="1" applyFill="1"/>
    <xf numFmtId="0" fontId="42" fillId="8" borderId="0" xfId="6" applyFont="1" applyFill="1"/>
    <xf numFmtId="0" fontId="32" fillId="0" borderId="0" xfId="7" applyFont="1" applyFill="1" applyBorder="1" applyAlignment="1">
      <alignment vertical="top" wrapText="1"/>
    </xf>
    <xf numFmtId="0" fontId="27" fillId="8" borderId="0" xfId="6" applyFont="1" applyFill="1" applyBorder="1" applyAlignment="1"/>
    <xf numFmtId="0" fontId="29" fillId="8" borderId="0" xfId="6" applyFont="1" applyFill="1" applyBorder="1"/>
    <xf numFmtId="0" fontId="55" fillId="0" borderId="0" xfId="7" applyFont="1" applyBorder="1" applyProtection="1">
      <protection hidden="1"/>
    </xf>
    <xf numFmtId="0" fontId="26" fillId="0" borderId="0" xfId="6" applyFont="1" applyBorder="1" applyProtection="1">
      <protection hidden="1"/>
    </xf>
    <xf numFmtId="0" fontId="1" fillId="0" borderId="0" xfId="6" applyFont="1" applyBorder="1" applyAlignment="1" applyProtection="1">
      <alignment horizontal="center"/>
      <protection hidden="1"/>
    </xf>
    <xf numFmtId="0" fontId="56" fillId="0" borderId="0" xfId="6" applyFont="1" applyBorder="1" applyProtection="1">
      <protection hidden="1"/>
    </xf>
    <xf numFmtId="0" fontId="57" fillId="0" borderId="0" xfId="6" applyFont="1" applyBorder="1" applyAlignment="1" applyProtection="1">
      <protection hidden="1"/>
    </xf>
    <xf numFmtId="0" fontId="15" fillId="4" borderId="8" xfId="0" applyFont="1" applyFill="1" applyBorder="1" applyAlignment="1" applyProtection="1">
      <alignment horizontal="center"/>
      <protection locked="0"/>
    </xf>
    <xf numFmtId="0" fontId="60" fillId="0" borderId="0" xfId="6" applyFont="1" applyBorder="1" applyProtection="1">
      <protection hidden="1"/>
    </xf>
    <xf numFmtId="0" fontId="60" fillId="0" borderId="0" xfId="6" applyFont="1" applyBorder="1" applyAlignment="1" applyProtection="1">
      <alignment horizontal="center"/>
      <protection hidden="1"/>
    </xf>
    <xf numFmtId="0" fontId="59" fillId="0" borderId="0" xfId="1" applyFont="1" applyBorder="1" applyProtection="1">
      <protection hidden="1"/>
    </xf>
    <xf numFmtId="0" fontId="60" fillId="0" borderId="0" xfId="6" applyFont="1"/>
    <xf numFmtId="0" fontId="58" fillId="0" borderId="0" xfId="6" applyFont="1" applyBorder="1" applyAlignment="1" applyProtection="1">
      <alignment horizontal="center"/>
      <protection hidden="1"/>
    </xf>
    <xf numFmtId="0" fontId="62" fillId="0" borderId="0" xfId="6" applyFont="1" applyBorder="1" applyAlignment="1" applyProtection="1">
      <alignment horizontal="center"/>
      <protection hidden="1"/>
    </xf>
    <xf numFmtId="0" fontId="76" fillId="0" borderId="0" xfId="7" applyAlignment="1" applyProtection="1">
      <alignment wrapText="1"/>
      <protection locked="0"/>
    </xf>
    <xf numFmtId="0" fontId="44" fillId="0" borderId="3" xfId="6" applyFont="1" applyBorder="1" applyProtection="1">
      <protection locked="0"/>
    </xf>
    <xf numFmtId="0" fontId="15" fillId="4" borderId="4" xfId="6" applyFont="1" applyFill="1" applyBorder="1" applyAlignment="1" applyProtection="1">
      <alignment horizontal="center"/>
      <protection locked="0"/>
    </xf>
    <xf numFmtId="0" fontId="15" fillId="4" borderId="13" xfId="6" applyFont="1" applyFill="1" applyBorder="1" applyAlignment="1" applyProtection="1">
      <alignment horizontal="center"/>
      <protection locked="0"/>
    </xf>
    <xf numFmtId="0" fontId="18" fillId="4" borderId="0" xfId="0" applyFont="1" applyFill="1" applyAlignment="1" applyProtection="1">
      <alignment horizontal="center" vertical="center"/>
      <protection locked="0"/>
    </xf>
    <xf numFmtId="0" fontId="15" fillId="4" borderId="5" xfId="0" applyFont="1" applyFill="1" applyBorder="1" applyAlignment="1" applyProtection="1">
      <alignment horizontal="center"/>
      <protection locked="0"/>
    </xf>
    <xf numFmtId="0" fontId="25" fillId="4" borderId="14" xfId="0" applyFont="1" applyFill="1" applyBorder="1" applyAlignment="1" applyProtection="1">
      <alignment horizontal="center"/>
      <protection locked="0"/>
    </xf>
    <xf numFmtId="0" fontId="15" fillId="4" borderId="8" xfId="0" applyFont="1" applyFill="1" applyBorder="1" applyAlignment="1" applyProtection="1">
      <alignment horizontal="center" vertical="center"/>
      <protection locked="0"/>
    </xf>
    <xf numFmtId="0" fontId="17" fillId="5" borderId="19" xfId="6" applyFont="1" applyFill="1" applyBorder="1" applyProtection="1">
      <protection hidden="1"/>
    </xf>
    <xf numFmtId="0" fontId="17" fillId="5" borderId="19" xfId="6" applyFont="1" applyFill="1" applyBorder="1" applyAlignment="1" applyProtection="1">
      <alignment horizontal="right"/>
      <protection hidden="1"/>
    </xf>
    <xf numFmtId="1" fontId="46" fillId="5" borderId="19" xfId="1" applyNumberFormat="1" applyFont="1" applyFill="1" applyBorder="1" applyAlignment="1" applyProtection="1">
      <alignment horizontal="right" vertical="center"/>
      <protection hidden="1"/>
    </xf>
    <xf numFmtId="0" fontId="47" fillId="5" borderId="19" xfId="6" applyFont="1" applyFill="1" applyBorder="1" applyProtection="1">
      <protection hidden="1"/>
    </xf>
    <xf numFmtId="1" fontId="46" fillId="5" borderId="8" xfId="1" applyNumberFormat="1" applyFont="1" applyFill="1" applyBorder="1" applyAlignment="1" applyProtection="1">
      <alignment horizontal="right" vertical="center"/>
      <protection hidden="1"/>
    </xf>
    <xf numFmtId="1" fontId="44" fillId="5" borderId="8" xfId="6" applyNumberFormat="1" applyFont="1" applyFill="1" applyBorder="1" applyAlignment="1" applyProtection="1">
      <alignment horizontal="right" vertical="center"/>
      <protection hidden="1"/>
    </xf>
    <xf numFmtId="0" fontId="15" fillId="4" borderId="21" xfId="6" applyFont="1" applyFill="1" applyBorder="1" applyAlignment="1" applyProtection="1">
      <alignment horizontal="center"/>
      <protection locked="0"/>
    </xf>
    <xf numFmtId="0" fontId="44" fillId="0" borderId="7" xfId="6" applyFont="1" applyBorder="1" applyAlignment="1" applyProtection="1">
      <alignment wrapText="1"/>
      <protection locked="0"/>
    </xf>
    <xf numFmtId="0" fontId="25" fillId="4" borderId="8" xfId="0" applyFont="1" applyFill="1" applyBorder="1" applyAlignment="1" applyProtection="1">
      <alignment horizontal="center"/>
      <protection locked="0"/>
    </xf>
    <xf numFmtId="0" fontId="25" fillId="4" borderId="22" xfId="7" applyFont="1" applyFill="1" applyBorder="1" applyAlignment="1" applyProtection="1">
      <alignment horizontal="center"/>
      <protection locked="0"/>
    </xf>
    <xf numFmtId="0" fontId="44" fillId="0" borderId="16" xfId="6" applyFont="1" applyBorder="1" applyProtection="1">
      <protection locked="0"/>
    </xf>
    <xf numFmtId="0" fontId="15" fillId="4" borderId="23" xfId="6" applyFont="1" applyFill="1" applyBorder="1" applyAlignment="1" applyProtection="1">
      <alignment horizontal="center"/>
      <protection locked="0"/>
    </xf>
    <xf numFmtId="0" fontId="47" fillId="10" borderId="7" xfId="6" applyFont="1" applyFill="1" applyBorder="1" applyAlignment="1" applyProtection="1">
      <alignment horizontal="left" wrapText="1"/>
      <protection hidden="1"/>
    </xf>
    <xf numFmtId="1" fontId="46" fillId="10" borderId="9" xfId="1" applyNumberFormat="1" applyFont="1" applyFill="1" applyBorder="1" applyAlignment="1" applyProtection="1">
      <alignment horizontal="right"/>
      <protection hidden="1"/>
    </xf>
    <xf numFmtId="0" fontId="46" fillId="10" borderId="7" xfId="1" applyFont="1" applyFill="1" applyBorder="1" applyAlignment="1" applyProtection="1">
      <alignment horizontal="left" wrapText="1"/>
      <protection hidden="1"/>
    </xf>
    <xf numFmtId="0" fontId="15" fillId="6" borderId="25" xfId="6" applyFont="1" applyFill="1" applyBorder="1" applyAlignment="1" applyProtection="1">
      <alignment horizontal="center"/>
      <protection hidden="1"/>
    </xf>
    <xf numFmtId="1" fontId="15" fillId="6" borderId="26" xfId="6" applyNumberFormat="1" applyFont="1" applyFill="1" applyBorder="1" applyAlignment="1" applyProtection="1">
      <alignment horizontal="center"/>
      <protection hidden="1"/>
    </xf>
    <xf numFmtId="1" fontId="45" fillId="10" borderId="9" xfId="1" applyNumberFormat="1" applyFont="1" applyFill="1" applyBorder="1" applyAlignment="1" applyProtection="1">
      <alignment horizontal="right"/>
      <protection hidden="1"/>
    </xf>
    <xf numFmtId="0" fontId="15" fillId="0" borderId="0" xfId="6" applyFont="1" applyFill="1" applyBorder="1" applyAlignment="1" applyProtection="1">
      <alignment horizontal="center"/>
      <protection hidden="1"/>
    </xf>
    <xf numFmtId="1" fontId="15" fillId="0" borderId="0" xfId="6" applyNumberFormat="1" applyFont="1" applyFill="1" applyBorder="1" applyAlignment="1" applyProtection="1">
      <alignment horizontal="center"/>
      <protection hidden="1"/>
    </xf>
    <xf numFmtId="0" fontId="47" fillId="5" borderId="8" xfId="6" applyFont="1" applyFill="1" applyBorder="1" applyAlignment="1" applyProtection="1">
      <alignment wrapText="1"/>
      <protection hidden="1"/>
    </xf>
    <xf numFmtId="1" fontId="47" fillId="10" borderId="14" xfId="6" applyNumberFormat="1" applyFont="1" applyFill="1" applyBorder="1" applyAlignment="1" applyProtection="1">
      <alignment horizontal="right"/>
      <protection hidden="1"/>
    </xf>
    <xf numFmtId="0" fontId="3" fillId="0" borderId="0" xfId="7" applyFont="1" applyFill="1" applyBorder="1" applyAlignment="1">
      <alignment horizontal="center" vertical="top" wrapText="1"/>
    </xf>
    <xf numFmtId="0" fontId="36" fillId="0" borderId="0" xfId="7" applyFont="1" applyFill="1" applyBorder="1" applyAlignment="1">
      <alignment vertical="top" wrapText="1"/>
    </xf>
    <xf numFmtId="0" fontId="28" fillId="0" borderId="0" xfId="6" applyFont="1" applyFill="1"/>
    <xf numFmtId="0" fontId="42" fillId="0" borderId="0" xfId="6" applyFont="1" applyFill="1"/>
    <xf numFmtId="0" fontId="27" fillId="0" borderId="0" xfId="6" applyFont="1" applyFill="1" applyBorder="1" applyAlignment="1"/>
    <xf numFmtId="0" fontId="29" fillId="0" borderId="0" xfId="6" applyFont="1" applyFill="1" applyBorder="1"/>
    <xf numFmtId="0" fontId="15" fillId="4" borderId="22" xfId="0" applyFont="1" applyFill="1" applyBorder="1" applyAlignment="1" applyProtection="1">
      <alignment horizontal="center"/>
      <protection locked="0"/>
    </xf>
    <xf numFmtId="0" fontId="15" fillId="4" borderId="13" xfId="0" applyFont="1" applyFill="1" applyBorder="1" applyAlignment="1" applyProtection="1">
      <alignment horizontal="center" vertical="center"/>
      <protection locked="0"/>
    </xf>
    <xf numFmtId="0" fontId="1" fillId="0" borderId="0" xfId="6" applyBorder="1" applyProtection="1">
      <protection locked="0"/>
    </xf>
    <xf numFmtId="0" fontId="1" fillId="0" borderId="2" xfId="6" applyBorder="1" applyProtection="1">
      <protection locked="0"/>
    </xf>
    <xf numFmtId="0" fontId="1" fillId="0" borderId="35" xfId="6" applyBorder="1" applyProtection="1">
      <protection locked="0"/>
    </xf>
    <xf numFmtId="0" fontId="15" fillId="8" borderId="25" xfId="6" applyFont="1" applyFill="1" applyBorder="1" applyAlignment="1" applyProtection="1">
      <alignment horizontal="center"/>
      <protection locked="0"/>
    </xf>
    <xf numFmtId="0" fontId="1" fillId="0" borderId="37" xfId="6" applyBorder="1" applyProtection="1">
      <protection locked="0"/>
    </xf>
    <xf numFmtId="0" fontId="36" fillId="8" borderId="0" xfId="7" applyFont="1" applyFill="1" applyBorder="1" applyAlignment="1">
      <alignment horizontal="center" vertical="top" wrapText="1"/>
    </xf>
    <xf numFmtId="0" fontId="28" fillId="8" borderId="0" xfId="6" applyFont="1" applyFill="1" applyBorder="1" applyAlignment="1"/>
    <xf numFmtId="0" fontId="15" fillId="4" borderId="9" xfId="0" applyFont="1" applyFill="1" applyBorder="1" applyAlignment="1" applyProtection="1">
      <alignment horizontal="center"/>
      <protection locked="0"/>
    </xf>
    <xf numFmtId="0" fontId="15" fillId="4" borderId="14" xfId="6" applyFont="1" applyFill="1" applyBorder="1" applyAlignment="1" applyProtection="1">
      <alignment horizontal="center"/>
      <protection locked="0"/>
    </xf>
    <xf numFmtId="1" fontId="46" fillId="10" borderId="9" xfId="1" applyNumberFormat="1" applyFont="1" applyFill="1" applyBorder="1" applyAlignment="1" applyProtection="1">
      <alignment horizontal="right" vertical="center"/>
      <protection hidden="1"/>
    </xf>
    <xf numFmtId="0" fontId="46" fillId="10" borderId="7" xfId="1" applyFont="1" applyFill="1" applyBorder="1" applyAlignment="1" applyProtection="1">
      <alignment horizontal="left" vertical="center" wrapText="1"/>
      <protection hidden="1"/>
    </xf>
    <xf numFmtId="0" fontId="47" fillId="10" borderId="7" xfId="6" applyFont="1" applyFill="1" applyBorder="1" applyAlignment="1" applyProtection="1">
      <alignment wrapText="1"/>
      <protection hidden="1"/>
    </xf>
    <xf numFmtId="0" fontId="17" fillId="10" borderId="9" xfId="6" applyFont="1" applyFill="1" applyBorder="1" applyProtection="1">
      <protection hidden="1"/>
    </xf>
    <xf numFmtId="1" fontId="45" fillId="10" borderId="9" xfId="1" applyNumberFormat="1" applyFont="1" applyFill="1" applyBorder="1" applyAlignment="1" applyProtection="1">
      <alignment horizontal="right" vertical="center"/>
      <protection hidden="1"/>
    </xf>
    <xf numFmtId="0" fontId="3" fillId="8" borderId="0" xfId="7" applyFont="1" applyFill="1"/>
    <xf numFmtId="0" fontId="53" fillId="8" borderId="0" xfId="7" applyFont="1" applyFill="1" applyBorder="1" applyAlignment="1">
      <alignment horizontal="center" vertical="center" wrapText="1"/>
    </xf>
    <xf numFmtId="0" fontId="15" fillId="4" borderId="39" xfId="6" applyFont="1" applyFill="1" applyBorder="1" applyAlignment="1" applyProtection="1">
      <alignment horizontal="center"/>
      <protection locked="0"/>
    </xf>
    <xf numFmtId="0" fontId="18" fillId="4" borderId="19" xfId="6" applyFont="1" applyFill="1" applyBorder="1" applyAlignment="1" applyProtection="1">
      <alignment horizontal="center" vertical="center"/>
      <protection locked="0"/>
    </xf>
    <xf numFmtId="0" fontId="25" fillId="4" borderId="19" xfId="7" applyFont="1" applyFill="1" applyBorder="1" applyAlignment="1" applyProtection="1">
      <alignment horizontal="center"/>
      <protection locked="0"/>
    </xf>
    <xf numFmtId="0" fontId="15" fillId="4" borderId="40" xfId="6" applyFont="1" applyFill="1" applyBorder="1" applyAlignment="1" applyProtection="1">
      <alignment horizontal="center" vertical="center"/>
      <protection locked="0"/>
    </xf>
    <xf numFmtId="0" fontId="17" fillId="0" borderId="0" xfId="6" applyFont="1" applyProtection="1">
      <protection locked="0"/>
    </xf>
    <xf numFmtId="0" fontId="46" fillId="5" borderId="8" xfId="1" applyFont="1" applyFill="1" applyBorder="1" applyAlignment="1" applyProtection="1">
      <protection hidden="1"/>
    </xf>
    <xf numFmtId="0" fontId="47" fillId="5" borderId="19" xfId="6" applyFont="1" applyFill="1" applyBorder="1" applyAlignment="1" applyProtection="1">
      <alignment horizontal="right"/>
      <protection hidden="1"/>
    </xf>
    <xf numFmtId="0" fontId="17" fillId="10" borderId="9" xfId="6" applyFont="1" applyFill="1" applyBorder="1" applyAlignment="1" applyProtection="1">
      <protection hidden="1"/>
    </xf>
    <xf numFmtId="1" fontId="15" fillId="6" borderId="26" xfId="6" applyNumberFormat="1" applyFont="1" applyFill="1" applyBorder="1" applyAlignment="1">
      <alignment horizontal="center"/>
    </xf>
    <xf numFmtId="1" fontId="15" fillId="0" borderId="0" xfId="6" applyNumberFormat="1" applyFont="1" applyFill="1" applyBorder="1" applyAlignment="1">
      <alignment horizontal="center"/>
    </xf>
    <xf numFmtId="0" fontId="44" fillId="10" borderId="18" xfId="6" applyFont="1" applyFill="1" applyBorder="1" applyAlignment="1" applyProtection="1">
      <alignment horizontal="left" wrapText="1"/>
      <protection hidden="1"/>
    </xf>
    <xf numFmtId="0" fontId="46" fillId="10" borderId="18" xfId="1" applyFont="1" applyFill="1" applyBorder="1" applyAlignment="1" applyProtection="1">
      <alignment horizontal="left" wrapText="1"/>
      <protection hidden="1"/>
    </xf>
    <xf numFmtId="0" fontId="47" fillId="10" borderId="20" xfId="6" applyFont="1" applyFill="1" applyBorder="1" applyAlignment="1" applyProtection="1">
      <alignment horizontal="left" wrapText="1"/>
      <protection hidden="1"/>
    </xf>
    <xf numFmtId="0" fontId="17" fillId="5" borderId="8" xfId="6" applyFont="1" applyFill="1" applyBorder="1" applyAlignment="1" applyProtection="1">
      <alignment horizontal="right"/>
      <protection hidden="1"/>
    </xf>
    <xf numFmtId="0" fontId="44" fillId="5" borderId="8" xfId="6" applyFont="1" applyFill="1" applyBorder="1" applyAlignment="1" applyProtection="1">
      <protection hidden="1"/>
    </xf>
    <xf numFmtId="0" fontId="69" fillId="11" borderId="41" xfId="7" applyFont="1" applyFill="1" applyBorder="1" applyAlignment="1">
      <alignment horizontal="center" vertical="top" wrapText="1"/>
    </xf>
    <xf numFmtId="0" fontId="69" fillId="11" borderId="42" xfId="7" applyFont="1" applyFill="1" applyBorder="1" applyAlignment="1">
      <alignment horizontal="center" vertical="top" wrapText="1"/>
    </xf>
    <xf numFmtId="0" fontId="69" fillId="11" borderId="17" xfId="7" applyFont="1" applyFill="1" applyBorder="1" applyAlignment="1">
      <alignment horizontal="center" vertical="top" wrapText="1"/>
    </xf>
    <xf numFmtId="0" fontId="76" fillId="11" borderId="43" xfId="7" applyFill="1" applyBorder="1" applyAlignment="1">
      <alignment horizontal="center" vertical="top" wrapText="1"/>
    </xf>
    <xf numFmtId="0" fontId="54" fillId="11" borderId="44" xfId="7" applyFont="1" applyFill="1" applyBorder="1" applyAlignment="1">
      <alignment horizontal="center" vertical="top" wrapText="1"/>
    </xf>
    <xf numFmtId="0" fontId="54" fillId="11" borderId="45" xfId="7" applyFont="1" applyFill="1" applyBorder="1" applyAlignment="1">
      <alignment horizontal="center" vertical="top" wrapText="1"/>
    </xf>
    <xf numFmtId="0" fontId="69" fillId="8" borderId="7" xfId="7" applyFont="1" applyFill="1" applyBorder="1" applyAlignment="1">
      <alignment vertical="top" wrapText="1"/>
    </xf>
    <xf numFmtId="0" fontId="69" fillId="8" borderId="8" xfId="7" applyFont="1" applyFill="1" applyBorder="1" applyAlignment="1">
      <alignment horizontal="center" vertical="top" wrapText="1"/>
    </xf>
    <xf numFmtId="0" fontId="69" fillId="8" borderId="9" xfId="7" applyFont="1" applyFill="1" applyBorder="1" applyAlignment="1">
      <alignment horizontal="center" vertical="top" wrapText="1"/>
    </xf>
    <xf numFmtId="0" fontId="69" fillId="8" borderId="16" xfId="7" applyFont="1" applyFill="1" applyBorder="1" applyAlignment="1">
      <alignment vertical="top" wrapText="1"/>
    </xf>
    <xf numFmtId="0" fontId="69" fillId="8" borderId="13" xfId="7" applyFont="1" applyFill="1" applyBorder="1" applyAlignment="1">
      <alignment horizontal="center" vertical="top" wrapText="1"/>
    </xf>
    <xf numFmtId="0" fontId="69" fillId="8" borderId="14" xfId="7" applyFont="1" applyFill="1" applyBorder="1" applyAlignment="1">
      <alignment horizontal="center" vertical="top" wrapText="1"/>
    </xf>
    <xf numFmtId="0" fontId="54" fillId="8" borderId="0" xfId="7" applyFont="1" applyFill="1" applyBorder="1" applyAlignment="1">
      <alignment vertical="top" wrapText="1"/>
    </xf>
    <xf numFmtId="1" fontId="46" fillId="10" borderId="9" xfId="1" applyNumberFormat="1" applyFont="1" applyFill="1" applyBorder="1" applyAlignment="1">
      <alignment horizontal="right"/>
    </xf>
    <xf numFmtId="16" fontId="1" fillId="0" borderId="0" xfId="6" applyNumberFormat="1" applyFont="1"/>
    <xf numFmtId="0" fontId="18" fillId="0" borderId="0" xfId="6" applyFont="1" applyFill="1"/>
    <xf numFmtId="0" fontId="15" fillId="0" borderId="23" xfId="6" applyFont="1" applyFill="1" applyBorder="1" applyAlignment="1">
      <alignment horizontal="center"/>
    </xf>
    <xf numFmtId="0" fontId="44" fillId="10" borderId="18" xfId="6" applyFont="1" applyFill="1" applyBorder="1" applyAlignment="1" applyProtection="1">
      <alignment horizontal="left" vertical="center" wrapText="1"/>
      <protection hidden="1"/>
    </xf>
    <xf numFmtId="0" fontId="46" fillId="10" borderId="18" xfId="1" applyFont="1" applyFill="1" applyBorder="1" applyAlignment="1" applyProtection="1">
      <alignment horizontal="left" vertical="center" wrapText="1"/>
      <protection hidden="1"/>
    </xf>
    <xf numFmtId="1" fontId="47" fillId="5" borderId="8" xfId="6" applyNumberFormat="1" applyFont="1" applyFill="1" applyBorder="1" applyAlignment="1" applyProtection="1">
      <alignment horizontal="right" vertical="center"/>
      <protection hidden="1"/>
    </xf>
    <xf numFmtId="0" fontId="71" fillId="0" borderId="0" xfId="7" applyFont="1" applyFill="1" applyAlignment="1" applyProtection="1">
      <alignment horizontal="center"/>
      <protection hidden="1"/>
    </xf>
    <xf numFmtId="0" fontId="35" fillId="0" borderId="0" xfId="7" applyFont="1" applyFill="1" applyAlignment="1">
      <alignment horizontal="center"/>
    </xf>
    <xf numFmtId="0" fontId="72" fillId="0" borderId="0" xfId="7" applyFont="1" applyFill="1" applyAlignment="1">
      <alignment horizontal="center"/>
    </xf>
    <xf numFmtId="0" fontId="73" fillId="0" borderId="0" xfId="7" applyFont="1" applyFill="1" applyAlignment="1" applyProtection="1">
      <alignment horizontal="left"/>
      <protection hidden="1"/>
    </xf>
    <xf numFmtId="164" fontId="36" fillId="0" borderId="0" xfId="7" applyNumberFormat="1" applyFont="1" applyFill="1" applyBorder="1" applyAlignment="1">
      <alignment horizontal="center" vertical="top" wrapText="1"/>
    </xf>
    <xf numFmtId="0" fontId="36" fillId="0" borderId="0" xfId="7" applyNumberFormat="1" applyFont="1" applyFill="1" applyBorder="1" applyAlignment="1">
      <alignment horizontal="center" vertical="top" wrapText="1"/>
    </xf>
    <xf numFmtId="0" fontId="73" fillId="8" borderId="0" xfId="7" applyFont="1" applyFill="1" applyAlignment="1" applyProtection="1">
      <alignment horizontal="left"/>
      <protection hidden="1"/>
    </xf>
    <xf numFmtId="0" fontId="74" fillId="8" borderId="0" xfId="7" applyFont="1" applyFill="1" applyAlignment="1" applyProtection="1">
      <alignment horizontal="left"/>
      <protection hidden="1"/>
    </xf>
    <xf numFmtId="0" fontId="32" fillId="8" borderId="0" xfId="7" applyFont="1" applyFill="1" applyAlignment="1">
      <alignment horizontal="left"/>
    </xf>
    <xf numFmtId="0" fontId="3" fillId="8" borderId="0" xfId="7" applyFont="1" applyFill="1" applyAlignment="1" applyProtection="1">
      <alignment horizontal="left"/>
      <protection hidden="1"/>
    </xf>
    <xf numFmtId="0" fontId="1" fillId="0" borderId="0" xfId="6" applyFill="1" applyBorder="1"/>
    <xf numFmtId="0" fontId="3" fillId="8" borderId="0" xfId="7" applyFont="1" applyFill="1" applyProtection="1">
      <protection hidden="1"/>
    </xf>
    <xf numFmtId="0" fontId="15" fillId="4" borderId="32" xfId="0" applyFont="1" applyFill="1" applyBorder="1" applyAlignment="1" applyProtection="1">
      <alignment horizontal="center"/>
      <protection locked="0"/>
    </xf>
    <xf numFmtId="0" fontId="17" fillId="5" borderId="8" xfId="6" applyFont="1" applyFill="1" applyBorder="1"/>
    <xf numFmtId="0" fontId="46" fillId="5" borderId="8" xfId="1" applyFont="1" applyFill="1" applyBorder="1" applyAlignment="1">
      <alignment horizontal="left" vertical="center"/>
    </xf>
    <xf numFmtId="0" fontId="47" fillId="5" borderId="8" xfId="6" applyFont="1" applyFill="1" applyBorder="1" applyAlignment="1">
      <alignment horizontal="left" wrapText="1"/>
    </xf>
    <xf numFmtId="0" fontId="47" fillId="5" borderId="8" xfId="6" applyFont="1" applyFill="1" applyBorder="1" applyAlignment="1">
      <alignment horizontal="left" vertical="center"/>
    </xf>
    <xf numFmtId="0" fontId="44" fillId="5" borderId="8" xfId="6" applyFont="1" applyFill="1" applyBorder="1" applyAlignment="1">
      <alignment horizontal="left"/>
    </xf>
    <xf numFmtId="1" fontId="44" fillId="5" borderId="8" xfId="6" applyNumberFormat="1" applyFont="1" applyFill="1" applyBorder="1" applyAlignment="1">
      <alignment horizontal="right"/>
    </xf>
    <xf numFmtId="0" fontId="0" fillId="0" borderId="0" xfId="1" applyFont="1" applyBorder="1"/>
    <xf numFmtId="1" fontId="47" fillId="5" borderId="19" xfId="6" applyNumberFormat="1" applyFont="1" applyFill="1" applyBorder="1" applyAlignment="1">
      <alignment horizontal="right" vertical="center"/>
    </xf>
    <xf numFmtId="0" fontId="1" fillId="0" borderId="0" xfId="1"/>
    <xf numFmtId="0" fontId="44" fillId="0" borderId="8" xfId="6" applyFont="1" applyBorder="1" applyAlignment="1" applyProtection="1">
      <alignment vertical="center" wrapText="1"/>
      <protection locked="0"/>
    </xf>
    <xf numFmtId="0" fontId="45" fillId="0" borderId="30" xfId="7" applyFont="1" applyBorder="1" applyAlignment="1" applyProtection="1">
      <alignment vertical="center" wrapText="1"/>
      <protection locked="0"/>
    </xf>
    <xf numFmtId="0" fontId="18" fillId="0" borderId="28" xfId="6" applyNumberFormat="1" applyFont="1" applyBorder="1" applyAlignment="1" applyProtection="1">
      <alignment vertical="center" wrapText="1"/>
      <protection locked="0"/>
    </xf>
    <xf numFmtId="0" fontId="24" fillId="0" borderId="5" xfId="7" applyFont="1" applyBorder="1" applyAlignment="1" applyProtection="1">
      <alignment vertical="center" wrapText="1"/>
      <protection locked="0"/>
    </xf>
    <xf numFmtId="0" fontId="44" fillId="0" borderId="9" xfId="6" applyFont="1" applyBorder="1" applyAlignment="1" applyProtection="1">
      <alignment vertical="center" wrapText="1"/>
      <protection locked="0"/>
    </xf>
    <xf numFmtId="0" fontId="45" fillId="0" borderId="9" xfId="7" applyFont="1" applyBorder="1" applyAlignment="1" applyProtection="1">
      <alignment horizontal="left" vertical="center" wrapText="1"/>
      <protection locked="0"/>
    </xf>
    <xf numFmtId="0" fontId="44" fillId="0" borderId="20" xfId="6" applyFont="1" applyBorder="1" applyAlignment="1" applyProtection="1">
      <alignment vertical="center" wrapText="1"/>
      <protection locked="0"/>
    </xf>
    <xf numFmtId="0" fontId="44" fillId="0" borderId="18" xfId="6" applyFont="1" applyBorder="1" applyAlignment="1" applyProtection="1">
      <alignment vertical="center" wrapText="1"/>
      <protection locked="0"/>
    </xf>
    <xf numFmtId="0" fontId="44" fillId="0" borderId="31" xfId="6" applyFont="1" applyBorder="1" applyAlignment="1" applyProtection="1">
      <alignment vertical="center" wrapText="1"/>
      <protection locked="0"/>
    </xf>
    <xf numFmtId="0" fontId="45" fillId="0" borderId="7" xfId="7" applyFont="1" applyBorder="1" applyAlignment="1" applyProtection="1">
      <alignment horizontal="left" vertical="center" wrapText="1"/>
      <protection locked="0"/>
    </xf>
    <xf numFmtId="0" fontId="18" fillId="0" borderId="28" xfId="6" applyNumberFormat="1" applyFont="1" applyBorder="1" applyAlignment="1" applyProtection="1">
      <alignment horizontal="left" vertical="center" wrapText="1"/>
      <protection locked="0"/>
    </xf>
    <xf numFmtId="0" fontId="44" fillId="0" borderId="3" xfId="6" applyFont="1" applyBorder="1" applyAlignment="1" applyProtection="1">
      <alignment horizontal="left" vertical="center"/>
      <protection locked="0"/>
    </xf>
    <xf numFmtId="0" fontId="44" fillId="0" borderId="7" xfId="6" applyFont="1" applyBorder="1" applyAlignment="1" applyProtection="1">
      <alignment horizontal="left" vertical="center"/>
      <protection locked="0"/>
    </xf>
    <xf numFmtId="0" fontId="44" fillId="0" borderId="7" xfId="6" applyFont="1" applyBorder="1" applyAlignment="1" applyProtection="1">
      <alignment horizontal="left" vertical="center" wrapText="1"/>
      <protection locked="0"/>
    </xf>
    <xf numFmtId="0" fontId="44" fillId="0" borderId="16" xfId="6" applyFont="1" applyBorder="1" applyAlignment="1" applyProtection="1">
      <alignment horizontal="left" vertical="center"/>
      <protection locked="0"/>
    </xf>
    <xf numFmtId="0" fontId="44" fillId="0" borderId="3" xfId="6" applyFont="1" applyBorder="1" applyAlignment="1" applyProtection="1">
      <alignment vertical="center" wrapText="1"/>
      <protection locked="0"/>
    </xf>
    <xf numFmtId="0" fontId="44" fillId="0" borderId="7" xfId="6" applyFont="1" applyBorder="1" applyAlignment="1" applyProtection="1">
      <alignment vertical="center"/>
      <protection locked="0"/>
    </xf>
    <xf numFmtId="0" fontId="44" fillId="0" borderId="7" xfId="6" applyFont="1" applyBorder="1" applyAlignment="1" applyProtection="1">
      <alignment vertical="center" wrapText="1"/>
      <protection locked="0"/>
    </xf>
    <xf numFmtId="0" fontId="18" fillId="0" borderId="16" xfId="6" applyFont="1" applyBorder="1" applyAlignment="1" applyProtection="1">
      <alignment vertical="center"/>
      <protection locked="0"/>
    </xf>
    <xf numFmtId="0" fontId="24" fillId="0" borderId="21" xfId="7" applyFont="1" applyBorder="1" applyAlignment="1" applyProtection="1">
      <alignment vertical="center" wrapText="1"/>
      <protection locked="0"/>
    </xf>
    <xf numFmtId="0" fontId="44" fillId="0" borderId="22" xfId="6" applyFont="1" applyBorder="1" applyAlignment="1" applyProtection="1">
      <alignment vertical="center" wrapText="1"/>
      <protection locked="0"/>
    </xf>
    <xf numFmtId="0" fontId="45" fillId="0" borderId="22" xfId="7" applyFont="1" applyBorder="1" applyAlignment="1" applyProtection="1">
      <alignment horizontal="left" vertical="center" wrapText="1"/>
      <protection locked="0"/>
    </xf>
    <xf numFmtId="0" fontId="18" fillId="0" borderId="23" xfId="6" applyFont="1" applyBorder="1" applyAlignment="1" applyProtection="1">
      <alignment vertical="center"/>
      <protection locked="0"/>
    </xf>
    <xf numFmtId="0" fontId="44" fillId="0" borderId="18" xfId="6" applyFont="1" applyBorder="1" applyAlignment="1" applyProtection="1">
      <alignment vertical="center"/>
      <protection locked="0"/>
    </xf>
    <xf numFmtId="0" fontId="44" fillId="0" borderId="28" xfId="6" applyFont="1" applyBorder="1" applyAlignment="1" applyProtection="1">
      <alignment vertical="center"/>
      <protection locked="0"/>
    </xf>
    <xf numFmtId="0" fontId="44" fillId="0" borderId="0" xfId="6" applyFont="1" applyAlignment="1" applyProtection="1">
      <alignment vertical="center"/>
      <protection locked="0"/>
    </xf>
    <xf numFmtId="0" fontId="44" fillId="0" borderId="13" xfId="6" applyFont="1" applyBorder="1" applyAlignment="1" applyProtection="1">
      <alignment vertical="center" wrapText="1"/>
      <protection locked="0"/>
    </xf>
    <xf numFmtId="0" fontId="44" fillId="0" borderId="31" xfId="6" applyFont="1" applyBorder="1" applyAlignment="1" applyProtection="1">
      <alignment vertical="center"/>
      <protection locked="0"/>
    </xf>
    <xf numFmtId="0" fontId="44" fillId="0" borderId="4" xfId="6" applyFont="1" applyBorder="1" applyAlignment="1" applyProtection="1">
      <alignment vertical="center" wrapText="1"/>
      <protection locked="0"/>
    </xf>
    <xf numFmtId="0" fontId="30" fillId="0" borderId="0" xfId="7" applyFont="1" applyFill="1" applyBorder="1" applyAlignment="1">
      <alignment horizontal="center" vertical="top" wrapText="1"/>
    </xf>
    <xf numFmtId="0" fontId="3" fillId="0" borderId="0" xfId="7" applyFont="1" applyFill="1" applyBorder="1" applyAlignment="1">
      <alignment vertical="top" wrapText="1"/>
    </xf>
    <xf numFmtId="0" fontId="30" fillId="0" borderId="0" xfId="7" applyFont="1" applyFill="1" applyBorder="1" applyAlignment="1">
      <alignment vertical="top" wrapText="1"/>
    </xf>
    <xf numFmtId="0" fontId="1" fillId="0" borderId="0" xfId="6" applyBorder="1" applyAlignment="1">
      <alignment horizontal="center"/>
    </xf>
    <xf numFmtId="0" fontId="0" fillId="0" borderId="0" xfId="0"/>
    <xf numFmtId="0" fontId="30" fillId="0" borderId="0" xfId="7" applyFont="1" applyFill="1" applyBorder="1" applyAlignment="1">
      <alignment horizontal="center" vertical="center" wrapText="1"/>
    </xf>
    <xf numFmtId="0" fontId="76" fillId="0" borderId="0" xfId="9" applyAlignment="1">
      <alignment wrapText="1"/>
    </xf>
    <xf numFmtId="0" fontId="27" fillId="8" borderId="0" xfId="6" applyFont="1" applyFill="1" applyAlignment="1">
      <alignment wrapText="1"/>
    </xf>
    <xf numFmtId="0" fontId="33" fillId="0" borderId="0" xfId="9" applyFont="1" applyAlignment="1">
      <alignment horizontal="center" vertical="center" wrapText="1"/>
    </xf>
    <xf numFmtId="0" fontId="19" fillId="0" borderId="0" xfId="9" applyFont="1" applyAlignment="1">
      <alignment wrapText="1"/>
    </xf>
    <xf numFmtId="0" fontId="80" fillId="5" borderId="8" xfId="6" applyFont="1" applyFill="1" applyBorder="1" applyAlignment="1" applyProtection="1">
      <alignment horizontal="center"/>
      <protection hidden="1"/>
    </xf>
    <xf numFmtId="0" fontId="22" fillId="0" borderId="0" xfId="9" applyFont="1" applyProtection="1">
      <protection hidden="1"/>
    </xf>
    <xf numFmtId="0" fontId="20" fillId="0" borderId="10" xfId="9" applyFont="1" applyFill="1" applyBorder="1" applyAlignment="1">
      <alignment wrapText="1"/>
    </xf>
    <xf numFmtId="0" fontId="17" fillId="11" borderId="18" xfId="6" applyFont="1" applyFill="1" applyBorder="1" applyProtection="1">
      <protection hidden="1"/>
    </xf>
    <xf numFmtId="0" fontId="17" fillId="11" borderId="9" xfId="6" applyFont="1" applyFill="1" applyBorder="1" applyProtection="1">
      <protection hidden="1"/>
    </xf>
    <xf numFmtId="0" fontId="17" fillId="11" borderId="18" xfId="6" applyFont="1" applyFill="1" applyBorder="1" applyAlignment="1" applyProtection="1">
      <alignment horizontal="left"/>
      <protection hidden="1"/>
    </xf>
    <xf numFmtId="1" fontId="22" fillId="5" borderId="8" xfId="9" applyNumberFormat="1" applyFont="1" applyFill="1" applyBorder="1" applyAlignment="1" applyProtection="1">
      <alignment horizontal="right"/>
      <protection hidden="1"/>
    </xf>
    <xf numFmtId="0" fontId="17" fillId="11" borderId="18" xfId="6" applyFont="1" applyFill="1" applyBorder="1" applyAlignment="1" applyProtection="1">
      <alignment horizontal="right"/>
      <protection hidden="1"/>
    </xf>
    <xf numFmtId="1" fontId="17" fillId="5" borderId="8" xfId="6" applyNumberFormat="1" applyFont="1" applyFill="1" applyBorder="1" applyAlignment="1" applyProtection="1">
      <alignment wrapText="1"/>
      <protection hidden="1"/>
    </xf>
    <xf numFmtId="0" fontId="17" fillId="11" borderId="19" xfId="6" applyFont="1" applyFill="1" applyBorder="1" applyAlignment="1" applyProtection="1">
      <alignment wrapText="1"/>
      <protection hidden="1"/>
    </xf>
    <xf numFmtId="0" fontId="18" fillId="11" borderId="9" xfId="6" applyFont="1" applyFill="1" applyBorder="1" applyAlignment="1" applyProtection="1">
      <alignment wrapText="1"/>
      <protection hidden="1"/>
    </xf>
    <xf numFmtId="1" fontId="17" fillId="11" borderId="9" xfId="6" applyNumberFormat="1" applyFont="1" applyFill="1" applyBorder="1" applyProtection="1">
      <protection hidden="1"/>
    </xf>
    <xf numFmtId="0" fontId="21" fillId="0" borderId="0" xfId="9" applyFont="1" applyBorder="1" applyAlignment="1">
      <alignment horizontal="center" vertical="center" wrapText="1"/>
    </xf>
    <xf numFmtId="1" fontId="21" fillId="0" borderId="0" xfId="9" applyNumberFormat="1" applyFont="1" applyBorder="1" applyAlignment="1">
      <alignment horizontal="center" vertical="center"/>
    </xf>
    <xf numFmtId="0" fontId="21" fillId="0" borderId="0" xfId="9" applyFont="1" applyFill="1" applyBorder="1" applyAlignment="1" applyProtection="1">
      <alignment horizontal="center"/>
      <protection locked="0"/>
    </xf>
    <xf numFmtId="165" fontId="21" fillId="0" borderId="0" xfId="9" applyNumberFormat="1" applyFont="1" applyFill="1" applyBorder="1" applyAlignment="1">
      <alignment wrapText="1"/>
    </xf>
    <xf numFmtId="0" fontId="24" fillId="0" borderId="0" xfId="9" applyFont="1" applyBorder="1" applyAlignment="1">
      <alignment horizontal="center" vertical="center" wrapText="1"/>
    </xf>
    <xf numFmtId="1" fontId="24" fillId="0" borderId="0" xfId="9" applyNumberFormat="1" applyFont="1" applyBorder="1" applyAlignment="1">
      <alignment horizontal="center" vertical="center"/>
    </xf>
    <xf numFmtId="1" fontId="25" fillId="0" borderId="0" xfId="9" applyNumberFormat="1" applyFont="1" applyBorder="1" applyAlignment="1">
      <alignment horizontal="center" vertical="center"/>
    </xf>
    <xf numFmtId="0" fontId="3" fillId="8" borderId="0" xfId="9" applyFont="1" applyFill="1" applyAlignment="1" applyProtection="1">
      <alignment horizontal="center"/>
      <protection hidden="1"/>
    </xf>
    <xf numFmtId="0" fontId="3" fillId="8" borderId="0" xfId="9" applyFont="1" applyFill="1" applyBorder="1" applyAlignment="1" applyProtection="1">
      <alignment horizontal="center"/>
      <protection hidden="1"/>
    </xf>
    <xf numFmtId="0" fontId="30" fillId="8" borderId="0" xfId="9" applyFont="1" applyFill="1" applyBorder="1" applyAlignment="1">
      <alignment horizontal="center" vertical="top" wrapText="1"/>
    </xf>
    <xf numFmtId="0" fontId="3" fillId="8" borderId="0" xfId="9" applyFont="1" applyFill="1" applyBorder="1" applyAlignment="1">
      <alignment vertical="top" wrapText="1"/>
    </xf>
    <xf numFmtId="0" fontId="30" fillId="8" borderId="0" xfId="9" applyFont="1" applyFill="1" applyBorder="1" applyAlignment="1">
      <alignment vertical="top" wrapText="1"/>
    </xf>
    <xf numFmtId="0" fontId="30" fillId="8" borderId="0" xfId="9" applyFont="1" applyFill="1" applyBorder="1" applyAlignment="1">
      <alignment horizontal="center" vertical="center" wrapText="1"/>
    </xf>
    <xf numFmtId="0" fontId="30" fillId="8" borderId="0" xfId="9" applyFont="1" applyFill="1" applyBorder="1" applyAlignment="1">
      <alignment vertical="center"/>
    </xf>
    <xf numFmtId="0" fontId="78" fillId="2" borderId="0" xfId="6" applyFont="1" applyFill="1"/>
    <xf numFmtId="0" fontId="1" fillId="8" borderId="0" xfId="6" applyFill="1" applyAlignment="1">
      <alignment wrapText="1"/>
    </xf>
    <xf numFmtId="1" fontId="15" fillId="7" borderId="0" xfId="6" applyNumberFormat="1" applyFont="1" applyFill="1" applyAlignment="1" applyProtection="1">
      <alignment horizontal="right" vertical="center" wrapText="1"/>
      <protection hidden="1"/>
    </xf>
    <xf numFmtId="14" fontId="90" fillId="12" borderId="8" xfId="1" applyNumberFormat="1" applyFont="1" applyFill="1" applyBorder="1" applyProtection="1">
      <protection locked="0"/>
    </xf>
    <xf numFmtId="0" fontId="90" fillId="0" borderId="8" xfId="1" applyFont="1" applyBorder="1" applyProtection="1">
      <protection locked="0"/>
    </xf>
    <xf numFmtId="0" fontId="91" fillId="0" borderId="8" xfId="1" applyFont="1" applyBorder="1"/>
    <xf numFmtId="0" fontId="90" fillId="0" borderId="0" xfId="1" applyFont="1"/>
    <xf numFmtId="0" fontId="90" fillId="0" borderId="0" xfId="1" applyFont="1" applyBorder="1" applyAlignment="1">
      <alignment horizontal="center"/>
    </xf>
    <xf numFmtId="14" fontId="90" fillId="0" borderId="8" xfId="1" applyNumberFormat="1" applyFont="1" applyFill="1" applyBorder="1" applyAlignment="1" applyProtection="1">
      <alignment horizontal="right" vertical="center"/>
      <protection hidden="1"/>
    </xf>
    <xf numFmtId="0" fontId="91" fillId="0" borderId="8" xfId="1" applyFont="1" applyBorder="1" applyAlignment="1">
      <alignment horizontal="left" vertical="center"/>
    </xf>
    <xf numFmtId="1" fontId="90" fillId="0" borderId="8" xfId="1" applyNumberFormat="1" applyFont="1" applyBorder="1" applyAlignment="1" applyProtection="1">
      <alignment vertical="center"/>
      <protection hidden="1"/>
    </xf>
    <xf numFmtId="0" fontId="90" fillId="0" borderId="8" xfId="1" applyFont="1" applyBorder="1" applyAlignment="1" applyProtection="1">
      <alignment vertical="center"/>
      <protection locked="0"/>
    </xf>
    <xf numFmtId="0" fontId="90" fillId="12" borderId="8" xfId="1" applyFont="1" applyFill="1" applyBorder="1" applyAlignment="1" applyProtection="1">
      <alignment vertical="center"/>
      <protection locked="0"/>
    </xf>
    <xf numFmtId="0" fontId="90" fillId="13" borderId="8" xfId="1" applyFont="1" applyFill="1" applyBorder="1" applyAlignment="1" applyProtection="1">
      <alignment vertical="center"/>
      <protection locked="0"/>
    </xf>
    <xf numFmtId="0" fontId="90" fillId="0" borderId="8" xfId="1" applyFont="1" applyBorder="1" applyAlignment="1" applyProtection="1">
      <alignment vertical="center"/>
      <protection hidden="1"/>
    </xf>
    <xf numFmtId="0" fontId="89" fillId="0" borderId="8" xfId="1" applyFont="1" applyBorder="1" applyAlignment="1" applyProtection="1">
      <alignment vertical="center"/>
      <protection hidden="1"/>
    </xf>
    <xf numFmtId="2" fontId="17" fillId="5" borderId="8" xfId="6" applyNumberFormat="1" applyFont="1" applyFill="1" applyBorder="1" applyProtection="1">
      <protection hidden="1"/>
    </xf>
    <xf numFmtId="0" fontId="0" fillId="0" borderId="0" xfId="0"/>
    <xf numFmtId="0" fontId="92" fillId="0" borderId="0" xfId="0" applyFont="1"/>
    <xf numFmtId="0" fontId="92" fillId="0" borderId="0" xfId="0" applyFont="1" applyAlignment="1">
      <alignment wrapText="1"/>
    </xf>
    <xf numFmtId="0" fontId="27" fillId="8" borderId="0" xfId="6" applyFont="1" applyFill="1" applyBorder="1"/>
    <xf numFmtId="0" fontId="0" fillId="0" borderId="0" xfId="0"/>
    <xf numFmtId="0" fontId="53" fillId="8" borderId="0" xfId="7" applyFont="1" applyFill="1" applyBorder="1" applyAlignment="1">
      <alignment vertical="top" wrapText="1"/>
    </xf>
    <xf numFmtId="0" fontId="16" fillId="15" borderId="1" xfId="6" applyFont="1" applyFill="1" applyBorder="1" applyAlignment="1">
      <alignment wrapText="1"/>
    </xf>
    <xf numFmtId="0" fontId="16" fillId="15" borderId="2" xfId="6" applyFont="1" applyFill="1" applyBorder="1" applyAlignment="1">
      <alignment wrapText="1"/>
    </xf>
    <xf numFmtId="0" fontId="18" fillId="17" borderId="46" xfId="6" applyFont="1" applyFill="1" applyBorder="1" applyAlignment="1" applyProtection="1">
      <alignment horizontal="center" vertical="center"/>
      <protection locked="0"/>
    </xf>
    <xf numFmtId="0" fontId="18" fillId="17" borderId="46" xfId="6" applyFont="1" applyFill="1" applyBorder="1" applyAlignment="1" applyProtection="1">
      <alignment horizontal="center" vertical="center" wrapText="1"/>
      <protection locked="0"/>
    </xf>
    <xf numFmtId="0" fontId="18" fillId="17" borderId="46" xfId="7" applyFont="1" applyFill="1" applyBorder="1" applyAlignment="1" applyProtection="1">
      <alignment horizontal="center" vertical="center" wrapText="1"/>
      <protection locked="0"/>
    </xf>
    <xf numFmtId="0" fontId="18" fillId="17" borderId="46" xfId="6" applyFont="1" applyFill="1" applyBorder="1" applyAlignment="1" applyProtection="1">
      <alignment horizontal="center" wrapText="1"/>
      <protection locked="0"/>
    </xf>
    <xf numFmtId="0" fontId="98" fillId="0" borderId="46" xfId="6" applyFont="1" applyBorder="1" applyAlignment="1" applyProtection="1">
      <alignment horizontal="left" vertical="center" wrapText="1"/>
      <protection locked="0"/>
    </xf>
    <xf numFmtId="1" fontId="21" fillId="0" borderId="0" xfId="10" applyNumberFormat="1" applyFont="1" applyFill="1" applyBorder="1" applyAlignment="1" applyProtection="1">
      <alignment horizontal="center" vertical="center"/>
      <protection hidden="1"/>
    </xf>
    <xf numFmtId="1" fontId="24" fillId="0" borderId="0" xfId="10" applyNumberFormat="1" applyFont="1" applyFill="1" applyBorder="1" applyAlignment="1" applyProtection="1">
      <alignment horizontal="center" vertical="center"/>
      <protection hidden="1"/>
    </xf>
    <xf numFmtId="1" fontId="25" fillId="0" borderId="0" xfId="10" applyNumberFormat="1" applyFont="1" applyFill="1" applyBorder="1" applyAlignment="1" applyProtection="1">
      <alignment horizontal="center" vertical="center"/>
      <protection hidden="1"/>
    </xf>
    <xf numFmtId="166" fontId="1" fillId="0" borderId="0" xfId="6" applyNumberFormat="1" applyFont="1" applyFill="1" applyBorder="1" applyAlignment="1" applyProtection="1">
      <alignment horizontal="center"/>
      <protection hidden="1"/>
    </xf>
    <xf numFmtId="0" fontId="41" fillId="0" borderId="0" xfId="10" applyFont="1" applyFill="1" applyBorder="1" applyProtection="1">
      <protection hidden="1"/>
    </xf>
    <xf numFmtId="0" fontId="40" fillId="0" borderId="0" xfId="10" applyFont="1" applyFill="1" applyBorder="1" applyProtection="1">
      <protection hidden="1"/>
    </xf>
    <xf numFmtId="0" fontId="40" fillId="0" borderId="0" xfId="10" applyFont="1" applyFill="1" applyBorder="1" applyAlignment="1" applyProtection="1">
      <alignment horizontal="justify"/>
      <protection hidden="1"/>
    </xf>
    <xf numFmtId="0" fontId="31" fillId="8" borderId="0" xfId="10" applyFont="1" applyFill="1" applyBorder="1" applyAlignment="1" applyProtection="1">
      <alignment vertical="center" wrapText="1"/>
      <protection hidden="1"/>
    </xf>
    <xf numFmtId="0" fontId="31" fillId="0" borderId="0" xfId="10" applyFont="1" applyFill="1" applyBorder="1" applyAlignment="1" applyProtection="1">
      <alignment vertical="center" wrapText="1"/>
      <protection hidden="1"/>
    </xf>
    <xf numFmtId="0" fontId="30" fillId="8" borderId="0" xfId="10" applyFont="1" applyFill="1" applyBorder="1" applyAlignment="1" applyProtection="1">
      <alignment horizontal="center" vertical="center" wrapText="1"/>
      <protection hidden="1"/>
    </xf>
    <xf numFmtId="0" fontId="30" fillId="8" borderId="0" xfId="10" applyFont="1" applyFill="1" applyBorder="1" applyAlignment="1" applyProtection="1">
      <alignment vertical="center"/>
      <protection hidden="1"/>
    </xf>
    <xf numFmtId="0" fontId="76" fillId="0" borderId="0" xfId="10" applyAlignment="1">
      <alignment wrapText="1"/>
    </xf>
    <xf numFmtId="0" fontId="44" fillId="0" borderId="46" xfId="6" applyFont="1" applyBorder="1" applyAlignment="1" applyProtection="1">
      <protection locked="0"/>
    </xf>
    <xf numFmtId="0" fontId="15" fillId="17" borderId="46" xfId="6" applyFont="1" applyFill="1" applyBorder="1" applyAlignment="1" applyProtection="1">
      <alignment horizontal="center"/>
      <protection locked="0"/>
    </xf>
    <xf numFmtId="0" fontId="44" fillId="0" borderId="46" xfId="6" applyFont="1" applyBorder="1" applyAlignment="1" applyProtection="1">
      <alignment horizontal="left"/>
      <protection locked="0"/>
    </xf>
    <xf numFmtId="0" fontId="45" fillId="0" borderId="46" xfId="10" applyFont="1" applyBorder="1" applyAlignment="1" applyProtection="1">
      <alignment vertical="center" wrapText="1"/>
      <protection locked="0"/>
    </xf>
    <xf numFmtId="0" fontId="76" fillId="0" borderId="0" xfId="10" applyProtection="1">
      <protection locked="0"/>
    </xf>
    <xf numFmtId="0" fontId="44" fillId="0" borderId="46" xfId="6" applyFont="1" applyBorder="1" applyProtection="1">
      <protection locked="0"/>
    </xf>
    <xf numFmtId="0" fontId="44" fillId="0" borderId="46" xfId="6" applyFont="1" applyBorder="1" applyAlignment="1" applyProtection="1">
      <alignment vertical="center"/>
      <protection locked="0"/>
    </xf>
    <xf numFmtId="0" fontId="44" fillId="0" borderId="46" xfId="6" applyFont="1" applyBorder="1" applyAlignment="1" applyProtection="1">
      <alignment vertical="center" wrapText="1"/>
      <protection locked="0"/>
    </xf>
    <xf numFmtId="0" fontId="44" fillId="0" borderId="46" xfId="6" applyFont="1" applyBorder="1" applyAlignment="1" applyProtection="1">
      <alignment wrapText="1"/>
      <protection locked="0"/>
    </xf>
    <xf numFmtId="0" fontId="25" fillId="17" borderId="46" xfId="10" applyFont="1" applyFill="1" applyBorder="1" applyAlignment="1" applyProtection="1">
      <alignment horizontal="center" vertical="center" wrapText="1"/>
      <protection locked="0"/>
    </xf>
    <xf numFmtId="0" fontId="45" fillId="0" borderId="46" xfId="10" applyFont="1" applyBorder="1" applyAlignment="1" applyProtection="1">
      <alignment horizontal="left" vertical="center" wrapText="1"/>
      <protection locked="0"/>
    </xf>
    <xf numFmtId="0" fontId="25" fillId="17" borderId="46" xfId="10" applyFont="1" applyFill="1" applyBorder="1" applyAlignment="1" applyProtection="1">
      <alignment horizontal="center"/>
      <protection locked="0"/>
    </xf>
    <xf numFmtId="0" fontId="15" fillId="17" borderId="46" xfId="6" applyFont="1" applyFill="1" applyBorder="1" applyAlignment="1" applyProtection="1">
      <alignment horizontal="center" vertical="center"/>
      <protection locked="0"/>
    </xf>
    <xf numFmtId="0" fontId="39" fillId="0" borderId="46" xfId="6" applyFont="1" applyBorder="1" applyAlignment="1" applyProtection="1">
      <alignment horizontal="left" vertical="center" wrapText="1"/>
      <protection locked="0"/>
    </xf>
    <xf numFmtId="0" fontId="39" fillId="0" borderId="46" xfId="6" applyFont="1" applyBorder="1" applyAlignment="1" applyProtection="1">
      <alignment vertical="center" wrapText="1"/>
      <protection locked="0"/>
    </xf>
    <xf numFmtId="0" fontId="44" fillId="22" borderId="46" xfId="6" applyFont="1" applyFill="1" applyBorder="1" applyAlignment="1" applyProtection="1">
      <alignment horizontal="left" vertical="center" wrapText="1"/>
      <protection locked="0"/>
    </xf>
    <xf numFmtId="0" fontId="18" fillId="22" borderId="46" xfId="6" applyFont="1" applyFill="1" applyBorder="1" applyAlignment="1" applyProtection="1">
      <alignment horizontal="center"/>
    </xf>
    <xf numFmtId="0" fontId="76" fillId="0" borderId="0" xfId="10"/>
    <xf numFmtId="0" fontId="59" fillId="0" borderId="0" xfId="10" applyFont="1" applyBorder="1" applyProtection="1">
      <protection hidden="1"/>
    </xf>
    <xf numFmtId="0" fontId="109" fillId="18" borderId="46" xfId="6" applyFont="1" applyFill="1" applyBorder="1" applyProtection="1">
      <protection hidden="1"/>
    </xf>
    <xf numFmtId="0" fontId="60" fillId="18" borderId="46" xfId="6" applyFont="1" applyFill="1" applyBorder="1" applyAlignment="1" applyProtection="1">
      <protection hidden="1"/>
    </xf>
    <xf numFmtId="0" fontId="60" fillId="27" borderId="46" xfId="6" applyFont="1" applyFill="1" applyBorder="1" applyProtection="1">
      <protection hidden="1"/>
    </xf>
    <xf numFmtId="0" fontId="110" fillId="18" borderId="46" xfId="1" applyFont="1" applyFill="1" applyBorder="1" applyAlignment="1" applyProtection="1">
      <alignment horizontal="left"/>
      <protection hidden="1"/>
    </xf>
    <xf numFmtId="1" fontId="59" fillId="18" borderId="46" xfId="1" applyNumberFormat="1" applyFont="1" applyFill="1" applyBorder="1" applyAlignment="1" applyProtection="1">
      <alignment horizontal="right"/>
      <protection hidden="1"/>
    </xf>
    <xf numFmtId="0" fontId="109" fillId="27" borderId="46" xfId="6" applyFont="1" applyFill="1" applyBorder="1" applyAlignment="1" applyProtection="1">
      <alignment horizontal="left" vertical="center" wrapText="1"/>
      <protection hidden="1"/>
    </xf>
    <xf numFmtId="1" fontId="59" fillId="27" borderId="46" xfId="1" applyNumberFormat="1" applyFont="1" applyFill="1" applyBorder="1" applyAlignment="1" applyProtection="1">
      <alignment horizontal="right"/>
      <protection hidden="1"/>
    </xf>
    <xf numFmtId="0" fontId="109" fillId="18" borderId="46" xfId="6" applyFont="1" applyFill="1" applyBorder="1" applyAlignment="1" applyProtection="1">
      <alignment horizontal="left" wrapText="1"/>
      <protection hidden="1"/>
    </xf>
    <xf numFmtId="0" fontId="110" fillId="27" borderId="46" xfId="1" applyFont="1" applyFill="1" applyBorder="1" applyAlignment="1" applyProtection="1">
      <alignment horizontal="left" vertical="center" wrapText="1"/>
      <protection hidden="1"/>
    </xf>
    <xf numFmtId="0" fontId="59" fillId="0" borderId="0" xfId="10" applyFont="1" applyBorder="1" applyAlignment="1" applyProtection="1">
      <alignment horizontal="center"/>
      <protection hidden="1"/>
    </xf>
    <xf numFmtId="1" fontId="47" fillId="18" borderId="46" xfId="6" applyNumberFormat="1" applyFont="1" applyFill="1" applyBorder="1" applyAlignment="1" applyProtection="1">
      <protection hidden="1"/>
    </xf>
    <xf numFmtId="0" fontId="46" fillId="27" borderId="46" xfId="1" applyFont="1" applyFill="1" applyBorder="1" applyAlignment="1" applyProtection="1">
      <alignment horizontal="right" vertical="center" wrapText="1"/>
      <protection hidden="1"/>
    </xf>
    <xf numFmtId="0" fontId="109" fillId="18" borderId="46" xfId="6" applyFont="1" applyFill="1" applyBorder="1" applyAlignment="1" applyProtection="1">
      <alignment horizontal="left" vertical="center"/>
      <protection hidden="1"/>
    </xf>
    <xf numFmtId="0" fontId="110" fillId="27" borderId="46" xfId="1" applyFont="1" applyFill="1" applyBorder="1" applyAlignment="1" applyProtection="1">
      <alignment horizontal="left" wrapText="1"/>
      <protection hidden="1"/>
    </xf>
    <xf numFmtId="0" fontId="110" fillId="18" borderId="46" xfId="1" applyFont="1" applyFill="1" applyBorder="1" applyAlignment="1" applyProtection="1">
      <alignment horizontal="left" vertical="center"/>
      <protection hidden="1"/>
    </xf>
    <xf numFmtId="0" fontId="98" fillId="27" borderId="46" xfId="6" applyFont="1" applyFill="1" applyBorder="1" applyAlignment="1" applyProtection="1">
      <alignment horizontal="left" vertical="center" wrapText="1"/>
      <protection hidden="1"/>
    </xf>
    <xf numFmtId="1" fontId="61" fillId="27" borderId="46" xfId="1" applyNumberFormat="1" applyFont="1" applyFill="1" applyBorder="1" applyAlignment="1" applyProtection="1">
      <alignment horizontal="right"/>
      <protection hidden="1"/>
    </xf>
    <xf numFmtId="1" fontId="59" fillId="18" borderId="46" xfId="1" applyNumberFormat="1" applyFont="1" applyFill="1" applyBorder="1" applyAlignment="1" applyProtection="1">
      <alignment horizontal="right" vertical="center"/>
      <protection hidden="1"/>
    </xf>
    <xf numFmtId="0" fontId="60" fillId="18" borderId="46" xfId="1" applyFont="1" applyFill="1" applyBorder="1" applyAlignment="1" applyProtection="1">
      <alignment horizontal="right" vertical="center"/>
      <protection hidden="1"/>
    </xf>
    <xf numFmtId="0" fontId="109" fillId="27" borderId="46" xfId="6" applyFont="1" applyFill="1" applyBorder="1" applyAlignment="1" applyProtection="1">
      <alignment horizontal="left" wrapText="1"/>
      <protection hidden="1"/>
    </xf>
    <xf numFmtId="1" fontId="60" fillId="27" borderId="46" xfId="6" applyNumberFormat="1" applyFont="1" applyFill="1" applyBorder="1" applyAlignment="1" applyProtection="1">
      <alignment horizontal="right"/>
      <protection hidden="1"/>
    </xf>
    <xf numFmtId="0" fontId="110" fillId="18" borderId="31" xfId="1" applyFont="1" applyFill="1" applyBorder="1" applyAlignment="1" applyProtection="1">
      <alignment horizontal="left" vertical="center"/>
      <protection hidden="1"/>
    </xf>
    <xf numFmtId="0" fontId="59" fillId="18" borderId="31" xfId="1" applyFont="1" applyFill="1" applyBorder="1" applyAlignment="1" applyProtection="1">
      <alignment horizontal="right" vertical="center"/>
      <protection hidden="1"/>
    </xf>
    <xf numFmtId="0" fontId="98" fillId="18" borderId="8" xfId="6" applyFont="1" applyFill="1" applyBorder="1" applyAlignment="1" applyProtection="1">
      <alignment horizontal="left"/>
      <protection hidden="1"/>
    </xf>
    <xf numFmtId="1" fontId="58" fillId="18" borderId="8" xfId="6" applyNumberFormat="1" applyFont="1" applyFill="1" applyBorder="1" applyAlignment="1" applyProtection="1">
      <alignment horizontal="right"/>
      <protection hidden="1"/>
    </xf>
    <xf numFmtId="0" fontId="59" fillId="0" borderId="0" xfId="7" applyFont="1"/>
    <xf numFmtId="0" fontId="61" fillId="0" borderId="0" xfId="10" applyFont="1" applyBorder="1" applyAlignment="1" applyProtection="1">
      <alignment horizontal="center"/>
      <protection hidden="1"/>
    </xf>
    <xf numFmtId="0" fontId="76" fillId="0" borderId="0" xfId="10" applyBorder="1" applyProtection="1">
      <protection hidden="1"/>
    </xf>
    <xf numFmtId="0" fontId="0" fillId="0" borderId="0" xfId="10" applyFont="1" applyBorder="1" applyAlignment="1" applyProtection="1">
      <alignment horizontal="center"/>
      <protection hidden="1"/>
    </xf>
    <xf numFmtId="166" fontId="50" fillId="0" borderId="0" xfId="6" applyNumberFormat="1" applyFont="1" applyBorder="1" applyAlignment="1" applyProtection="1">
      <alignment horizontal="center"/>
      <protection hidden="1"/>
    </xf>
    <xf numFmtId="0" fontId="48" fillId="0" borderId="0" xfId="10" applyFont="1" applyBorder="1" applyAlignment="1" applyProtection="1">
      <alignment horizontal="center"/>
      <protection hidden="1"/>
    </xf>
    <xf numFmtId="0" fontId="48" fillId="0" borderId="0" xfId="10" applyNumberFormat="1" applyFont="1" applyBorder="1" applyAlignment="1" applyProtection="1">
      <alignment horizontal="center"/>
      <protection hidden="1"/>
    </xf>
    <xf numFmtId="0" fontId="55" fillId="0" borderId="0" xfId="10" applyFont="1" applyBorder="1" applyProtection="1">
      <protection hidden="1"/>
    </xf>
    <xf numFmtId="0" fontId="76" fillId="0" borderId="0" xfId="10" applyAlignment="1" applyProtection="1">
      <alignment wrapText="1"/>
      <protection locked="0"/>
    </xf>
    <xf numFmtId="0" fontId="44" fillId="0" borderId="46" xfId="6" applyFont="1" applyBorder="1" applyAlignment="1" applyProtection="1">
      <alignment horizontal="left" vertical="center"/>
      <protection locked="0"/>
    </xf>
    <xf numFmtId="0" fontId="44" fillId="17" borderId="46" xfId="6" applyFont="1" applyFill="1" applyBorder="1" applyAlignment="1" applyProtection="1">
      <alignment horizontal="center"/>
      <protection locked="0"/>
    </xf>
    <xf numFmtId="0" fontId="44" fillId="0" borderId="46" xfId="6" applyFont="1" applyBorder="1" applyAlignment="1" applyProtection="1">
      <alignment horizontal="left" wrapText="1"/>
      <protection locked="0"/>
    </xf>
    <xf numFmtId="0" fontId="44" fillId="17" borderId="46" xfId="7" applyFont="1" applyFill="1" applyBorder="1" applyAlignment="1" applyProtection="1">
      <alignment horizontal="center" vertical="center"/>
      <protection locked="0"/>
    </xf>
    <xf numFmtId="0" fontId="44" fillId="0" borderId="46" xfId="6" applyFont="1" applyBorder="1" applyAlignment="1" applyProtection="1">
      <alignment horizontal="left" vertical="center" wrapText="1"/>
      <protection locked="0"/>
    </xf>
    <xf numFmtId="0" fontId="45" fillId="0" borderId="46" xfId="10" applyFont="1" applyBorder="1" applyAlignment="1" applyProtection="1">
      <alignment horizontal="left" wrapText="1"/>
      <protection locked="0"/>
    </xf>
    <xf numFmtId="0" fontId="45" fillId="17" borderId="46" xfId="7" applyFont="1" applyFill="1" applyBorder="1" applyAlignment="1" applyProtection="1">
      <alignment horizontal="center" wrapText="1"/>
      <protection locked="0"/>
    </xf>
    <xf numFmtId="0" fontId="44" fillId="0" borderId="46" xfId="6" applyFont="1" applyFill="1" applyBorder="1" applyAlignment="1" applyProtection="1">
      <alignment horizontal="left" wrapText="1"/>
      <protection locked="0"/>
    </xf>
    <xf numFmtId="0" fontId="44" fillId="26" borderId="46" xfId="6" applyFont="1" applyFill="1" applyBorder="1" applyAlignment="1" applyProtection="1">
      <alignment horizontal="center" vertical="center"/>
    </xf>
    <xf numFmtId="0" fontId="44" fillId="17" borderId="46" xfId="6" applyFont="1" applyFill="1" applyBorder="1" applyAlignment="1" applyProtection="1">
      <alignment horizontal="center" vertical="center"/>
      <protection locked="0"/>
    </xf>
    <xf numFmtId="0" fontId="45" fillId="17" borderId="46" xfId="10" applyFont="1" applyFill="1" applyBorder="1" applyAlignment="1" applyProtection="1">
      <alignment horizontal="center"/>
      <protection locked="0"/>
    </xf>
    <xf numFmtId="0" fontId="92" fillId="0" borderId="46" xfId="10" applyFont="1" applyBorder="1" applyAlignment="1">
      <alignment wrapText="1"/>
    </xf>
    <xf numFmtId="0" fontId="76" fillId="0" borderId="0" xfId="10" applyProtection="1">
      <protection hidden="1"/>
    </xf>
    <xf numFmtId="0" fontId="17" fillId="18" borderId="8" xfId="6" applyFont="1" applyFill="1" applyBorder="1" applyAlignment="1" applyProtection="1">
      <alignment horizontal="left" vertical="center"/>
      <protection hidden="1"/>
    </xf>
    <xf numFmtId="0" fontId="17" fillId="18" borderId="19" xfId="6" applyFont="1" applyFill="1" applyBorder="1" applyProtection="1">
      <protection hidden="1"/>
    </xf>
    <xf numFmtId="0" fontId="47" fillId="27" borderId="46" xfId="6" applyFont="1" applyFill="1" applyBorder="1" applyAlignment="1" applyProtection="1">
      <alignment horizontal="left" vertical="center" wrapText="1"/>
      <protection hidden="1"/>
    </xf>
    <xf numFmtId="1" fontId="46" fillId="27" borderId="46" xfId="1" applyNumberFormat="1" applyFont="1" applyFill="1" applyBorder="1" applyAlignment="1" applyProtection="1">
      <alignment horizontal="right" vertical="center"/>
      <protection hidden="1"/>
    </xf>
    <xf numFmtId="0" fontId="47" fillId="18" borderId="8" xfId="6" applyFont="1" applyFill="1" applyBorder="1" applyAlignment="1" applyProtection="1">
      <alignment horizontal="left" vertical="center"/>
      <protection hidden="1"/>
    </xf>
    <xf numFmtId="0" fontId="46" fillId="27" borderId="46" xfId="1" applyFont="1" applyFill="1" applyBorder="1" applyAlignment="1" applyProtection="1">
      <alignment horizontal="left" vertical="center" wrapText="1"/>
      <protection hidden="1"/>
    </xf>
    <xf numFmtId="0" fontId="77" fillId="0" borderId="0" xfId="10" applyFont="1" applyAlignment="1" applyProtection="1">
      <alignment horizontal="left" vertical="center"/>
      <protection locked="0"/>
    </xf>
    <xf numFmtId="0" fontId="46" fillId="18" borderId="8" xfId="1" applyFont="1" applyFill="1" applyBorder="1" applyAlignment="1" applyProtection="1">
      <alignment horizontal="left" vertical="center"/>
      <protection hidden="1"/>
    </xf>
    <xf numFmtId="1" fontId="46" fillId="18" borderId="19" xfId="1" applyNumberFormat="1" applyFont="1" applyFill="1" applyBorder="1" applyAlignment="1" applyProtection="1">
      <alignment horizontal="right" vertical="center"/>
      <protection hidden="1"/>
    </xf>
    <xf numFmtId="0" fontId="76" fillId="0" borderId="0" xfId="10" applyBorder="1" applyAlignment="1" applyProtection="1">
      <alignment horizontal="center"/>
      <protection hidden="1"/>
    </xf>
    <xf numFmtId="1" fontId="17" fillId="18" borderId="19" xfId="6" applyNumberFormat="1" applyFont="1" applyFill="1" applyBorder="1" applyProtection="1">
      <protection hidden="1"/>
    </xf>
    <xf numFmtId="0" fontId="47" fillId="18" borderId="8" xfId="6" applyFont="1" applyFill="1" applyBorder="1" applyAlignment="1" applyProtection="1">
      <alignment horizontal="left" vertical="center" wrapText="1"/>
      <protection hidden="1"/>
    </xf>
    <xf numFmtId="0" fontId="47" fillId="18" borderId="19" xfId="6" applyFont="1" applyFill="1" applyBorder="1" applyProtection="1">
      <protection hidden="1"/>
    </xf>
    <xf numFmtId="0" fontId="44" fillId="27" borderId="46" xfId="6" applyFont="1" applyFill="1" applyBorder="1" applyAlignment="1" applyProtection="1">
      <alignment horizontal="left" wrapText="1"/>
      <protection hidden="1"/>
    </xf>
    <xf numFmtId="1" fontId="45" fillId="27" borderId="46" xfId="1" applyNumberFormat="1" applyFont="1" applyFill="1" applyBorder="1" applyAlignment="1" applyProtection="1">
      <alignment horizontal="right" vertical="center"/>
      <protection hidden="1"/>
    </xf>
    <xf numFmtId="1" fontId="47" fillId="18" borderId="19" xfId="6" applyNumberFormat="1" applyFont="1" applyFill="1" applyBorder="1" applyAlignment="1" applyProtection="1">
      <protection hidden="1"/>
    </xf>
    <xf numFmtId="0" fontId="47" fillId="27" borderId="46" xfId="6" applyFont="1" applyFill="1" applyBorder="1" applyAlignment="1" applyProtection="1">
      <alignment horizontal="left" wrapText="1"/>
      <protection hidden="1"/>
    </xf>
    <xf numFmtId="1" fontId="47" fillId="18" borderId="19" xfId="6" applyNumberFormat="1" applyFont="1" applyFill="1" applyBorder="1" applyAlignment="1" applyProtection="1">
      <alignment horizontal="right" vertical="center"/>
      <protection hidden="1"/>
    </xf>
    <xf numFmtId="1" fontId="46" fillId="18" borderId="8" xfId="1" applyNumberFormat="1" applyFont="1" applyFill="1" applyBorder="1" applyAlignment="1" applyProtection="1">
      <alignment horizontal="right" vertical="center"/>
      <protection hidden="1"/>
    </xf>
    <xf numFmtId="2" fontId="46" fillId="18" borderId="8" xfId="1" applyNumberFormat="1" applyFont="1" applyFill="1" applyBorder="1" applyAlignment="1" applyProtection="1">
      <alignment horizontal="right" vertical="center"/>
      <protection hidden="1"/>
    </xf>
    <xf numFmtId="0" fontId="44" fillId="18" borderId="8" xfId="6" applyFont="1" applyFill="1" applyBorder="1" applyAlignment="1" applyProtection="1">
      <alignment horizontal="left" vertical="center"/>
      <protection hidden="1"/>
    </xf>
    <xf numFmtId="1" fontId="44" fillId="18" borderId="8" xfId="6" applyNumberFormat="1" applyFont="1" applyFill="1" applyBorder="1" applyAlignment="1" applyProtection="1">
      <alignment horizontal="right" vertical="center"/>
      <protection hidden="1"/>
    </xf>
    <xf numFmtId="0" fontId="30" fillId="8" borderId="0" xfId="10" applyFont="1" applyFill="1" applyBorder="1" applyAlignment="1">
      <alignment vertical="top" wrapText="1"/>
    </xf>
    <xf numFmtId="0" fontId="3" fillId="8" borderId="0" xfId="10" applyFont="1" applyFill="1" applyBorder="1" applyAlignment="1">
      <alignment vertical="top" wrapText="1"/>
    </xf>
    <xf numFmtId="0" fontId="113" fillId="0" borderId="0" xfId="6" applyFont="1"/>
    <xf numFmtId="0" fontId="113" fillId="0" borderId="0" xfId="6" applyFont="1" applyFill="1"/>
    <xf numFmtId="0" fontId="24" fillId="0" borderId="46" xfId="7" applyFont="1" applyBorder="1" applyAlignment="1" applyProtection="1">
      <alignment vertical="center" wrapText="1"/>
      <protection locked="0"/>
    </xf>
    <xf numFmtId="0" fontId="18" fillId="17" borderId="46" xfId="0" applyFont="1" applyFill="1" applyBorder="1" applyAlignment="1" applyProtection="1">
      <alignment horizontal="center" vertical="center"/>
      <protection locked="0"/>
    </xf>
    <xf numFmtId="0" fontId="15" fillId="17" borderId="46" xfId="0" applyFont="1" applyFill="1" applyBorder="1" applyAlignment="1" applyProtection="1">
      <alignment horizontal="center"/>
      <protection locked="0"/>
    </xf>
    <xf numFmtId="0" fontId="15" fillId="17" borderId="46" xfId="0" applyFont="1" applyFill="1" applyBorder="1" applyAlignment="1" applyProtection="1">
      <alignment horizontal="center"/>
      <protection hidden="1"/>
    </xf>
    <xf numFmtId="0" fontId="45" fillId="0" borderId="46" xfId="7" applyFont="1" applyBorder="1" applyAlignment="1" applyProtection="1">
      <alignment horizontal="left" vertical="center" wrapText="1"/>
      <protection locked="0"/>
    </xf>
    <xf numFmtId="0" fontId="25" fillId="17" borderId="46" xfId="7" applyFont="1" applyFill="1" applyBorder="1" applyAlignment="1" applyProtection="1">
      <alignment horizontal="center"/>
      <protection locked="0"/>
    </xf>
    <xf numFmtId="0" fontId="15" fillId="17" borderId="46" xfId="0" applyFont="1" applyFill="1" applyBorder="1" applyAlignment="1" applyProtection="1">
      <alignment horizontal="center" vertical="center"/>
      <protection locked="0"/>
    </xf>
    <xf numFmtId="0" fontId="18" fillId="0" borderId="46" xfId="6" applyFont="1" applyBorder="1" applyAlignment="1" applyProtection="1">
      <alignment vertical="center"/>
      <protection locked="0"/>
    </xf>
    <xf numFmtId="0" fontId="47" fillId="27" borderId="7" xfId="6" applyFont="1" applyFill="1" applyBorder="1" applyAlignment="1" applyProtection="1">
      <alignment horizontal="left" wrapText="1"/>
      <protection hidden="1"/>
    </xf>
    <xf numFmtId="1" fontId="46" fillId="27" borderId="9" xfId="1" applyNumberFormat="1" applyFont="1" applyFill="1" applyBorder="1" applyAlignment="1" applyProtection="1">
      <alignment horizontal="right"/>
      <protection hidden="1"/>
    </xf>
    <xf numFmtId="0" fontId="46" fillId="27" borderId="7" xfId="1" applyFont="1" applyFill="1" applyBorder="1" applyAlignment="1" applyProtection="1">
      <alignment horizontal="left" wrapText="1"/>
      <protection hidden="1"/>
    </xf>
    <xf numFmtId="0" fontId="47" fillId="18" borderId="8" xfId="6" applyFont="1" applyFill="1" applyBorder="1" applyAlignment="1" applyProtection="1">
      <alignment horizontal="left" wrapText="1"/>
      <protection hidden="1"/>
    </xf>
    <xf numFmtId="0" fontId="44" fillId="27" borderId="7" xfId="6" applyFont="1" applyFill="1" applyBorder="1" applyAlignment="1" applyProtection="1">
      <alignment horizontal="left" wrapText="1"/>
      <protection hidden="1"/>
    </xf>
    <xf numFmtId="1" fontId="45" fillId="27" borderId="9" xfId="1" applyNumberFormat="1" applyFont="1" applyFill="1" applyBorder="1" applyAlignment="1" applyProtection="1">
      <alignment horizontal="right"/>
      <protection hidden="1"/>
    </xf>
    <xf numFmtId="0" fontId="15" fillId="28" borderId="25" xfId="6" applyFont="1" applyFill="1" applyBorder="1" applyAlignment="1" applyProtection="1">
      <alignment horizontal="center"/>
      <protection hidden="1"/>
    </xf>
    <xf numFmtId="1" fontId="15" fillId="28" borderId="26" xfId="6" applyNumberFormat="1" applyFont="1" applyFill="1" applyBorder="1" applyAlignment="1" applyProtection="1">
      <alignment horizontal="center"/>
      <protection hidden="1"/>
    </xf>
    <xf numFmtId="0" fontId="47" fillId="27" borderId="16" xfId="6" applyFont="1" applyFill="1" applyBorder="1" applyAlignment="1" applyProtection="1">
      <alignment horizontal="left" wrapText="1"/>
      <protection hidden="1"/>
    </xf>
    <xf numFmtId="1" fontId="47" fillId="27" borderId="14" xfId="6" applyNumberFormat="1" applyFont="1" applyFill="1" applyBorder="1" applyAlignment="1" applyProtection="1">
      <alignment horizontal="right"/>
      <protection hidden="1"/>
    </xf>
    <xf numFmtId="0" fontId="92" fillId="16" borderId="46" xfId="0" applyFont="1" applyFill="1" applyBorder="1"/>
    <xf numFmtId="0" fontId="92" fillId="16" borderId="46" xfId="0" applyFont="1" applyFill="1" applyBorder="1" applyAlignment="1">
      <alignment wrapText="1"/>
    </xf>
    <xf numFmtId="0" fontId="94" fillId="16" borderId="46" xfId="0" applyFont="1" applyFill="1" applyBorder="1" applyAlignment="1">
      <alignment horizontal="center"/>
    </xf>
    <xf numFmtId="1" fontId="92" fillId="16" borderId="46" xfId="0" applyNumberFormat="1" applyFont="1" applyFill="1" applyBorder="1"/>
    <xf numFmtId="0" fontId="94" fillId="16" borderId="46" xfId="0" applyFont="1" applyFill="1" applyBorder="1"/>
    <xf numFmtId="0" fontId="83" fillId="0" borderId="0" xfId="6" applyFont="1" applyFill="1" applyProtection="1">
      <protection hidden="1"/>
    </xf>
    <xf numFmtId="1" fontId="83" fillId="0" borderId="0" xfId="6" applyNumberFormat="1" applyFont="1" applyFill="1" applyProtection="1">
      <protection hidden="1"/>
    </xf>
    <xf numFmtId="0" fontId="83" fillId="0" borderId="0" xfId="6" applyFont="1" applyFill="1"/>
    <xf numFmtId="0" fontId="85" fillId="0" borderId="0" xfId="6" applyFont="1" applyFill="1"/>
    <xf numFmtId="0" fontId="86" fillId="0" borderId="0" xfId="0" applyFont="1" applyFill="1"/>
    <xf numFmtId="0" fontId="87" fillId="0" borderId="0" xfId="10" applyFont="1" applyFill="1" applyBorder="1" applyAlignment="1">
      <alignment horizontal="center" vertical="top" wrapText="1"/>
    </xf>
    <xf numFmtId="0" fontId="87" fillId="0" borderId="0" xfId="10" applyFont="1" applyFill="1" applyBorder="1" applyAlignment="1">
      <alignment vertical="top" wrapText="1"/>
    </xf>
    <xf numFmtId="0" fontId="86" fillId="0" borderId="0" xfId="10" applyFont="1" applyFill="1" applyBorder="1" applyAlignment="1">
      <alignment vertical="top" wrapText="1"/>
    </xf>
    <xf numFmtId="0" fontId="88" fillId="0" borderId="0" xfId="10" applyFont="1" applyFill="1" applyBorder="1" applyAlignment="1">
      <alignment horizontal="center" vertical="top" wrapText="1"/>
    </xf>
    <xf numFmtId="0" fontId="84" fillId="0" borderId="0" xfId="6" applyFont="1" applyFill="1"/>
    <xf numFmtId="0" fontId="114" fillId="0" borderId="0" xfId="6" applyFont="1" applyFill="1"/>
    <xf numFmtId="0" fontId="88" fillId="0" borderId="0" xfId="10" applyFont="1" applyFill="1" applyBorder="1" applyAlignment="1">
      <alignment vertical="top" wrapText="1"/>
    </xf>
    <xf numFmtId="0" fontId="83" fillId="0" borderId="0" xfId="6" applyFont="1" applyFill="1" applyBorder="1" applyAlignment="1"/>
    <xf numFmtId="0" fontId="85" fillId="0" borderId="0" xfId="6" applyFont="1" applyFill="1" applyBorder="1"/>
    <xf numFmtId="0" fontId="87" fillId="0" borderId="0" xfId="10" applyFont="1" applyFill="1" applyBorder="1" applyAlignment="1">
      <alignment horizontal="center" vertical="center" wrapText="1"/>
    </xf>
    <xf numFmtId="0" fontId="83" fillId="0" borderId="0" xfId="6" applyFont="1" applyFill="1" applyBorder="1"/>
    <xf numFmtId="167" fontId="83" fillId="0" borderId="0" xfId="6" applyNumberFormat="1" applyFont="1" applyFill="1"/>
    <xf numFmtId="0" fontId="86" fillId="0" borderId="0" xfId="10" applyFont="1" applyFill="1" applyAlignment="1" applyProtection="1">
      <alignment horizontal="center"/>
      <protection hidden="1"/>
    </xf>
    <xf numFmtId="0" fontId="86" fillId="0" borderId="0" xfId="7" applyFont="1" applyFill="1"/>
    <xf numFmtId="2" fontId="21" fillId="17" borderId="46" xfId="7" applyNumberFormat="1" applyFont="1" applyFill="1" applyBorder="1" applyAlignment="1" applyProtection="1">
      <alignment horizontal="center" vertical="center" wrapText="1"/>
      <protection locked="0"/>
    </xf>
    <xf numFmtId="0" fontId="87" fillId="0" borderId="0" xfId="10" applyFont="1" applyFill="1" applyBorder="1" applyAlignment="1">
      <alignment horizontal="center" vertical="top" wrapText="1"/>
    </xf>
    <xf numFmtId="0" fontId="87" fillId="0" borderId="0" xfId="10" applyFont="1" applyFill="1" applyBorder="1" applyAlignment="1">
      <alignment vertical="top" wrapText="1"/>
    </xf>
    <xf numFmtId="1" fontId="47" fillId="5" borderId="8" xfId="6" applyNumberFormat="1" applyFont="1" applyFill="1" applyBorder="1" applyAlignment="1" applyProtection="1">
      <alignment horizontal="right" wrapText="1"/>
      <protection hidden="1"/>
    </xf>
    <xf numFmtId="0" fontId="46" fillId="27" borderId="7" xfId="1" applyFont="1" applyFill="1" applyBorder="1" applyAlignment="1" applyProtection="1">
      <alignment horizontal="right" wrapText="1"/>
      <protection hidden="1"/>
    </xf>
    <xf numFmtId="0" fontId="17" fillId="5" borderId="19" xfId="6" applyFont="1" applyFill="1" applyBorder="1" applyAlignment="1"/>
    <xf numFmtId="1" fontId="46" fillId="5" borderId="19" xfId="1" applyNumberFormat="1" applyFont="1" applyFill="1" applyBorder="1" applyAlignment="1">
      <alignment horizontal="right"/>
    </xf>
    <xf numFmtId="0" fontId="47" fillId="5" borderId="19" xfId="6" applyFont="1" applyFill="1" applyBorder="1" applyAlignment="1"/>
    <xf numFmtId="1" fontId="47" fillId="18" borderId="19" xfId="6" applyNumberFormat="1" applyFont="1" applyFill="1" applyBorder="1" applyAlignment="1" applyProtection="1">
      <alignment horizontal="right" wrapText="1"/>
      <protection hidden="1"/>
    </xf>
    <xf numFmtId="1" fontId="47" fillId="5" borderId="19" xfId="6" applyNumberFormat="1" applyFont="1" applyFill="1" applyBorder="1" applyAlignment="1">
      <alignment horizontal="right"/>
    </xf>
    <xf numFmtId="1" fontId="17" fillId="5" borderId="19" xfId="6" applyNumberFormat="1" applyFont="1" applyFill="1" applyBorder="1" applyAlignment="1"/>
    <xf numFmtId="0" fontId="47" fillId="10" borderId="46" xfId="6" applyFont="1" applyFill="1" applyBorder="1" applyAlignment="1">
      <alignment horizontal="left" vertical="center" wrapText="1"/>
    </xf>
    <xf numFmtId="1" fontId="46" fillId="10" borderId="46" xfId="1" applyNumberFormat="1" applyFont="1" applyFill="1" applyBorder="1" applyAlignment="1">
      <alignment horizontal="right"/>
    </xf>
    <xf numFmtId="0" fontId="46" fillId="10" borderId="46" xfId="1" applyFont="1" applyFill="1" applyBorder="1" applyAlignment="1">
      <alignment horizontal="left" vertical="center" wrapText="1"/>
    </xf>
    <xf numFmtId="0" fontId="46" fillId="10" borderId="46" xfId="1" applyFont="1" applyFill="1" applyBorder="1" applyAlignment="1">
      <alignment horizontal="right" vertical="center" wrapText="1"/>
    </xf>
    <xf numFmtId="0" fontId="44" fillId="10" borderId="46" xfId="6" applyFont="1" applyFill="1" applyBorder="1" applyAlignment="1">
      <alignment horizontal="left" vertical="center" wrapText="1"/>
    </xf>
    <xf numFmtId="1" fontId="45" fillId="10" borderId="46" xfId="1" applyNumberFormat="1" applyFont="1" applyFill="1" applyBorder="1" applyAlignment="1">
      <alignment horizontal="right"/>
    </xf>
    <xf numFmtId="0" fontId="47" fillId="10" borderId="46" xfId="6" applyFont="1" applyFill="1" applyBorder="1" applyAlignment="1">
      <alignment horizontal="left" wrapText="1"/>
    </xf>
    <xf numFmtId="1" fontId="47" fillId="10" borderId="46" xfId="6" applyNumberFormat="1" applyFont="1" applyFill="1" applyBorder="1" applyAlignment="1">
      <alignment horizontal="right"/>
    </xf>
    <xf numFmtId="0" fontId="30" fillId="8" borderId="0" xfId="10" applyFont="1" applyFill="1" applyBorder="1" applyAlignment="1" applyProtection="1">
      <alignment vertical="top" wrapText="1"/>
      <protection hidden="1"/>
    </xf>
    <xf numFmtId="0" fontId="30" fillId="8" borderId="0" xfId="10" applyFont="1" applyFill="1" applyBorder="1" applyAlignment="1" applyProtection="1">
      <alignment horizontal="center" vertical="top" wrapText="1"/>
      <protection hidden="1"/>
    </xf>
    <xf numFmtId="0" fontId="3" fillId="8" borderId="0" xfId="10" applyFont="1" applyFill="1" applyBorder="1" applyAlignment="1" applyProtection="1">
      <alignment vertical="top" wrapText="1"/>
      <protection hidden="1"/>
    </xf>
    <xf numFmtId="0" fontId="42" fillId="0" borderId="0" xfId="10" applyFont="1" applyFill="1" applyBorder="1" applyAlignment="1" applyProtection="1">
      <alignment horizontal="center" vertical="top" wrapText="1"/>
      <protection hidden="1"/>
    </xf>
    <xf numFmtId="0" fontId="41" fillId="0" borderId="0" xfId="10" applyFont="1" applyFill="1" applyBorder="1" applyAlignment="1" applyProtection="1">
      <alignment horizontal="left"/>
      <protection hidden="1"/>
    </xf>
    <xf numFmtId="0" fontId="42" fillId="0" borderId="0" xfId="10" applyFont="1" applyFill="1" applyBorder="1" applyAlignment="1" applyProtection="1">
      <alignment horizontal="center" vertical="center" wrapText="1"/>
      <protection hidden="1"/>
    </xf>
    <xf numFmtId="0" fontId="107" fillId="0" borderId="0" xfId="6" applyFont="1" applyFill="1" applyProtection="1">
      <protection hidden="1"/>
    </xf>
    <xf numFmtId="0" fontId="107" fillId="8" borderId="0" xfId="6" applyFont="1" applyFill="1" applyProtection="1">
      <protection hidden="1"/>
    </xf>
    <xf numFmtId="0" fontId="96" fillId="0" borderId="46" xfId="6" applyFont="1" applyBorder="1" applyAlignment="1" applyProtection="1">
      <alignment horizontal="left" vertical="center"/>
    </xf>
    <xf numFmtId="0" fontId="96" fillId="0" borderId="46" xfId="6" applyFont="1" applyBorder="1" applyAlignment="1" applyProtection="1">
      <alignment horizontal="left" vertical="center" wrapText="1"/>
    </xf>
    <xf numFmtId="0" fontId="97" fillId="0" borderId="46" xfId="6" applyFont="1" applyFill="1" applyBorder="1" applyAlignment="1" applyProtection="1">
      <alignment horizontal="left" vertical="center" wrapText="1"/>
    </xf>
    <xf numFmtId="0" fontId="38" fillId="0" borderId="0" xfId="6" applyFont="1" applyFill="1" applyAlignment="1">
      <alignment wrapText="1"/>
    </xf>
    <xf numFmtId="0" fontId="96" fillId="0" borderId="46" xfId="6" applyFont="1" applyBorder="1" applyAlignment="1" applyProtection="1">
      <alignment horizontal="left" wrapText="1"/>
    </xf>
    <xf numFmtId="0" fontId="98" fillId="0" borderId="46" xfId="6" applyFont="1" applyBorder="1" applyAlignment="1" applyProtection="1">
      <alignment horizontal="left" vertical="center" wrapText="1"/>
    </xf>
    <xf numFmtId="0" fontId="76" fillId="0" borderId="0" xfId="10" applyFill="1"/>
    <xf numFmtId="0" fontId="58" fillId="0" borderId="46" xfId="6" applyFont="1" applyBorder="1" applyAlignment="1" applyProtection="1">
      <alignment wrapText="1"/>
    </xf>
    <xf numFmtId="0" fontId="60" fillId="0" borderId="46" xfId="6" applyFont="1" applyBorder="1" applyAlignment="1" applyProtection="1">
      <alignment wrapText="1"/>
    </xf>
    <xf numFmtId="0" fontId="38" fillId="0" borderId="0" xfId="6" applyFont="1" applyFill="1" applyProtection="1">
      <protection hidden="1"/>
    </xf>
    <xf numFmtId="0" fontId="92" fillId="0" borderId="46" xfId="0" applyFont="1" applyBorder="1" applyAlignment="1" applyProtection="1">
      <alignment wrapText="1"/>
    </xf>
    <xf numFmtId="0" fontId="92" fillId="0" borderId="46" xfId="0" applyFont="1" applyBorder="1" applyProtection="1"/>
    <xf numFmtId="0" fontId="92" fillId="0" borderId="0" xfId="0" applyFont="1" applyBorder="1" applyAlignment="1" applyProtection="1">
      <alignment wrapText="1"/>
    </xf>
    <xf numFmtId="0" fontId="22" fillId="0" borderId="0" xfId="10" applyFont="1" applyProtection="1"/>
    <xf numFmtId="0" fontId="96" fillId="18" borderId="46" xfId="6" applyFont="1" applyFill="1" applyBorder="1" applyAlignment="1" applyProtection="1"/>
    <xf numFmtId="0" fontId="17" fillId="9" borderId="46" xfId="6" applyFont="1" applyFill="1" applyBorder="1" applyProtection="1"/>
    <xf numFmtId="0" fontId="1" fillId="0" borderId="0" xfId="6" applyProtection="1"/>
    <xf numFmtId="0" fontId="17" fillId="0" borderId="0" xfId="6" applyFont="1" applyProtection="1"/>
    <xf numFmtId="0" fontId="1" fillId="0" borderId="0" xfId="6" applyFill="1" applyAlignment="1" applyProtection="1">
      <alignment wrapText="1"/>
      <protection hidden="1"/>
    </xf>
    <xf numFmtId="0" fontId="17" fillId="9" borderId="46" xfId="6" applyFont="1" applyFill="1" applyBorder="1" applyAlignment="1" applyProtection="1">
      <alignment horizontal="left"/>
    </xf>
    <xf numFmtId="0" fontId="96" fillId="18" borderId="46" xfId="6" applyFont="1" applyFill="1" applyBorder="1" applyProtection="1"/>
    <xf numFmtId="0" fontId="15" fillId="19" borderId="18" xfId="6" applyFont="1" applyFill="1" applyBorder="1" applyAlignment="1" applyProtection="1">
      <alignment horizontal="center" vertical="center" wrapText="1"/>
    </xf>
    <xf numFmtId="1" fontId="15" fillId="19" borderId="8" xfId="6" applyNumberFormat="1" applyFont="1" applyFill="1" applyBorder="1" applyAlignment="1" applyProtection="1">
      <alignment horizontal="center" vertical="center" wrapText="1"/>
    </xf>
    <xf numFmtId="0" fontId="96" fillId="18" borderId="46" xfId="6" applyFont="1" applyFill="1" applyBorder="1" applyAlignment="1" applyProtection="1">
      <alignment wrapText="1"/>
    </xf>
    <xf numFmtId="2" fontId="96" fillId="18" borderId="46" xfId="6" applyNumberFormat="1" applyFont="1" applyFill="1" applyBorder="1" applyAlignment="1" applyProtection="1">
      <alignment wrapText="1"/>
    </xf>
    <xf numFmtId="0" fontId="17" fillId="0" borderId="0" xfId="6" applyFont="1" applyFill="1" applyBorder="1" applyProtection="1"/>
    <xf numFmtId="0" fontId="1" fillId="0" borderId="0" xfId="6" applyFill="1" applyBorder="1" applyProtection="1"/>
    <xf numFmtId="0" fontId="0" fillId="0" borderId="0" xfId="0" applyFill="1" applyBorder="1" applyProtection="1"/>
    <xf numFmtId="0" fontId="58" fillId="0" borderId="0" xfId="6" applyFont="1" applyFill="1" applyBorder="1" applyProtection="1"/>
    <xf numFmtId="1" fontId="21" fillId="0" borderId="0" xfId="10" applyNumberFormat="1" applyFont="1" applyFill="1" applyBorder="1" applyAlignment="1" applyProtection="1">
      <alignment horizontal="center" vertical="center"/>
    </xf>
    <xf numFmtId="0" fontId="18" fillId="0" borderId="0" xfId="6" applyFont="1" applyFill="1" applyBorder="1" applyAlignment="1" applyProtection="1">
      <alignment wrapText="1"/>
    </xf>
    <xf numFmtId="0" fontId="61" fillId="0" borderId="0" xfId="10" applyFont="1" applyFill="1" applyBorder="1" applyAlignment="1" applyProtection="1">
      <alignment wrapText="1"/>
    </xf>
    <xf numFmtId="1" fontId="103" fillId="0" borderId="0" xfId="6" applyNumberFormat="1" applyFont="1" applyFill="1" applyBorder="1" applyAlignment="1" applyProtection="1">
      <alignment horizontal="center"/>
    </xf>
    <xf numFmtId="0" fontId="104" fillId="0" borderId="0" xfId="0" applyFont="1" applyFill="1" applyBorder="1" applyAlignment="1" applyProtection="1">
      <alignment horizontal="left" wrapText="1"/>
    </xf>
    <xf numFmtId="0" fontId="17" fillId="0" borderId="0" xfId="6" applyFont="1" applyFill="1" applyBorder="1" applyAlignment="1" applyProtection="1">
      <alignment wrapText="1"/>
    </xf>
    <xf numFmtId="0" fontId="18" fillId="0" borderId="0" xfId="6" applyFont="1" applyFill="1" applyBorder="1" applyAlignment="1" applyProtection="1">
      <alignment horizontal="center" vertical="center" wrapText="1"/>
    </xf>
    <xf numFmtId="0" fontId="116" fillId="18" borderId="46" xfId="6" applyFont="1" applyFill="1" applyBorder="1" applyProtection="1"/>
    <xf numFmtId="1" fontId="24" fillId="0" borderId="0" xfId="10" applyNumberFormat="1" applyFont="1" applyFill="1" applyBorder="1" applyAlignment="1" applyProtection="1">
      <alignment horizontal="center" vertical="center"/>
    </xf>
    <xf numFmtId="0" fontId="60" fillId="20" borderId="46" xfId="6" applyFont="1" applyFill="1" applyBorder="1" applyProtection="1"/>
    <xf numFmtId="0" fontId="24" fillId="0" borderId="0" xfId="10" applyFont="1" applyFill="1" applyBorder="1" applyAlignment="1" applyProtection="1">
      <alignment horizontal="center" vertical="center" wrapText="1"/>
    </xf>
    <xf numFmtId="0" fontId="96" fillId="21" borderId="46" xfId="6" applyFont="1" applyFill="1" applyBorder="1" applyProtection="1"/>
    <xf numFmtId="1" fontId="25" fillId="0" borderId="0" xfId="10" applyNumberFormat="1" applyFont="1" applyFill="1" applyBorder="1" applyAlignment="1" applyProtection="1">
      <alignment horizontal="center" vertical="center"/>
    </xf>
    <xf numFmtId="0" fontId="96" fillId="22" borderId="46" xfId="6" applyFont="1" applyFill="1" applyBorder="1" applyProtection="1"/>
    <xf numFmtId="1" fontId="18" fillId="0" borderId="0" xfId="6" applyNumberFormat="1" applyFont="1" applyFill="1" applyBorder="1" applyAlignment="1" applyProtection="1">
      <alignment horizontal="center"/>
    </xf>
    <xf numFmtId="0" fontId="17" fillId="0" borderId="0" xfId="6" applyFont="1" applyFill="1" applyBorder="1" applyProtection="1">
      <protection hidden="1"/>
    </xf>
    <xf numFmtId="0" fontId="96" fillId="23" borderId="46" xfId="6" applyFont="1" applyFill="1" applyBorder="1" applyProtection="1"/>
    <xf numFmtId="0" fontId="96" fillId="24" borderId="46" xfId="6" applyFont="1" applyFill="1" applyBorder="1" applyProtection="1"/>
    <xf numFmtId="0" fontId="96" fillId="25" borderId="46" xfId="6" applyFont="1" applyFill="1" applyBorder="1" applyProtection="1"/>
    <xf numFmtId="0" fontId="83" fillId="0" borderId="0" xfId="6" applyFont="1" applyFill="1" applyBorder="1" applyProtection="1">
      <protection hidden="1"/>
    </xf>
    <xf numFmtId="0" fontId="97" fillId="18" borderId="46" xfId="6" applyFont="1" applyFill="1" applyBorder="1" applyProtection="1"/>
    <xf numFmtId="1" fontId="117" fillId="0" borderId="0" xfId="6" applyNumberFormat="1" applyFont="1" applyFill="1" applyBorder="1" applyAlignment="1" applyProtection="1">
      <alignment horizontal="right"/>
    </xf>
    <xf numFmtId="1" fontId="117" fillId="0" borderId="0" xfId="6" applyNumberFormat="1" applyFont="1" applyFill="1" applyBorder="1" applyProtection="1"/>
    <xf numFmtId="0" fontId="0" fillId="0" borderId="0" xfId="10" applyFont="1" applyFill="1" applyBorder="1" applyAlignment="1" applyProtection="1">
      <alignment horizontal="center"/>
      <protection hidden="1"/>
    </xf>
    <xf numFmtId="0" fontId="92" fillId="29" borderId="46" xfId="0" applyFont="1" applyFill="1" applyBorder="1" applyAlignment="1" applyProtection="1">
      <alignment horizontal="center" vertical="center"/>
    </xf>
    <xf numFmtId="0" fontId="92" fillId="0" borderId="0" xfId="0" applyFont="1" applyBorder="1"/>
    <xf numFmtId="0" fontId="18" fillId="17" borderId="0" xfId="7" applyFont="1" applyFill="1" applyBorder="1" applyAlignment="1" applyProtection="1">
      <alignment horizontal="center" vertical="center" wrapText="1"/>
      <protection locked="0"/>
    </xf>
    <xf numFmtId="0" fontId="96" fillId="0" borderId="0" xfId="6" applyFont="1" applyBorder="1" applyAlignment="1" applyProtection="1">
      <alignment wrapText="1"/>
      <protection locked="0"/>
    </xf>
    <xf numFmtId="0" fontId="18" fillId="17" borderId="46" xfId="10" applyFont="1" applyFill="1" applyBorder="1" applyAlignment="1" applyProtection="1">
      <alignment horizontal="center" vertical="center" wrapText="1"/>
      <protection locked="0"/>
    </xf>
    <xf numFmtId="0" fontId="39" fillId="17" borderId="46" xfId="10" applyFont="1" applyFill="1" applyBorder="1" applyAlignment="1" applyProtection="1">
      <alignment horizontal="center" vertical="center" wrapText="1"/>
      <protection locked="0"/>
    </xf>
    <xf numFmtId="0" fontId="18" fillId="17" borderId="50" xfId="10" applyFont="1" applyFill="1" applyBorder="1" applyAlignment="1" applyProtection="1">
      <alignment horizontal="center" vertical="center" wrapText="1"/>
      <protection locked="0"/>
    </xf>
    <xf numFmtId="0" fontId="21" fillId="17" borderId="46" xfId="10" applyFont="1" applyFill="1" applyBorder="1" applyAlignment="1" applyProtection="1">
      <alignment horizontal="center" vertical="center"/>
      <protection locked="0"/>
    </xf>
    <xf numFmtId="0" fontId="18" fillId="17" borderId="46" xfId="10" applyFont="1" applyFill="1" applyBorder="1" applyAlignment="1" applyProtection="1">
      <alignment horizontal="center" vertical="center"/>
      <protection locked="0"/>
    </xf>
    <xf numFmtId="0" fontId="18" fillId="30" borderId="46" xfId="10" applyFont="1" applyFill="1" applyBorder="1" applyAlignment="1" applyProtection="1">
      <alignment horizontal="center" vertical="center" wrapText="1"/>
      <protection locked="0"/>
    </xf>
    <xf numFmtId="0" fontId="92" fillId="0" borderId="46" xfId="0" applyFont="1" applyBorder="1" applyAlignment="1" applyProtection="1">
      <alignment horizontal="left" vertical="center" wrapText="1"/>
    </xf>
    <xf numFmtId="1" fontId="109" fillId="18" borderId="46" xfId="6" applyNumberFormat="1" applyFont="1" applyFill="1" applyBorder="1" applyAlignment="1" applyProtection="1">
      <alignment horizontal="right" vertical="center"/>
      <protection hidden="1"/>
    </xf>
    <xf numFmtId="0" fontId="118" fillId="0" borderId="0" xfId="7" applyFont="1" applyAlignment="1" applyProtection="1">
      <alignment wrapText="1"/>
      <protection locked="0"/>
    </xf>
    <xf numFmtId="0" fontId="17" fillId="18" borderId="8" xfId="6" applyFont="1" applyFill="1" applyBorder="1" applyAlignment="1" applyProtection="1">
      <alignment horizontal="right" vertical="center"/>
      <protection hidden="1"/>
    </xf>
    <xf numFmtId="1" fontId="17" fillId="18" borderId="19" xfId="6" applyNumberFormat="1" applyFont="1" applyFill="1" applyBorder="1" applyAlignment="1" applyProtection="1">
      <alignment horizontal="right"/>
      <protection hidden="1"/>
    </xf>
    <xf numFmtId="0" fontId="17" fillId="18" borderId="8" xfId="6" applyFont="1" applyFill="1" applyBorder="1" applyAlignment="1" applyProtection="1">
      <alignment horizontal="left" vertical="center" wrapText="1"/>
      <protection hidden="1"/>
    </xf>
    <xf numFmtId="0" fontId="27" fillId="8" borderId="0" xfId="6" applyFont="1" applyFill="1" applyBorder="1"/>
    <xf numFmtId="0" fontId="30" fillId="8" borderId="0" xfId="9" applyFont="1" applyFill="1" applyBorder="1" applyAlignment="1">
      <alignment horizontal="center" vertical="top" wrapText="1"/>
    </xf>
    <xf numFmtId="0" fontId="3" fillId="8" borderId="0" xfId="9" applyFont="1" applyFill="1" applyBorder="1" applyAlignment="1">
      <alignment vertical="top" wrapText="1"/>
    </xf>
    <xf numFmtId="0" fontId="30" fillId="8" borderId="0" xfId="9" applyFont="1" applyFill="1" applyBorder="1" applyAlignment="1">
      <alignment vertical="top" wrapText="1"/>
    </xf>
    <xf numFmtId="0" fontId="1" fillId="0" borderId="0" xfId="6" applyBorder="1" applyAlignment="1">
      <alignment horizontal="center"/>
    </xf>
    <xf numFmtId="0" fontId="0" fillId="0" borderId="0" xfId="0"/>
    <xf numFmtId="1" fontId="17" fillId="18" borderId="8" xfId="6" applyNumberFormat="1" applyFont="1" applyFill="1" applyBorder="1" applyAlignment="1" applyProtection="1">
      <alignment horizontal="right" vertical="center"/>
      <protection hidden="1"/>
    </xf>
    <xf numFmtId="0" fontId="17" fillId="31" borderId="8" xfId="6" applyFont="1" applyFill="1" applyBorder="1" applyAlignment="1" applyProtection="1">
      <alignment horizontal="left"/>
      <protection hidden="1"/>
    </xf>
    <xf numFmtId="0" fontId="17" fillId="31" borderId="19" xfId="6" applyFont="1" applyFill="1" applyBorder="1" applyProtection="1">
      <protection hidden="1"/>
    </xf>
    <xf numFmtId="0" fontId="17" fillId="31" borderId="8" xfId="6" applyFont="1" applyFill="1" applyBorder="1" applyProtection="1">
      <protection hidden="1"/>
    </xf>
    <xf numFmtId="0" fontId="46" fillId="31" borderId="8" xfId="1" applyFont="1" applyFill="1" applyBorder="1" applyAlignment="1" applyProtection="1">
      <alignment horizontal="left" vertical="center"/>
      <protection hidden="1"/>
    </xf>
    <xf numFmtId="1" fontId="46" fillId="31" borderId="19" xfId="1" applyNumberFormat="1" applyFont="1" applyFill="1" applyBorder="1" applyAlignment="1" applyProtection="1">
      <alignment horizontal="right" vertical="center"/>
      <protection hidden="1"/>
    </xf>
    <xf numFmtId="1" fontId="17" fillId="31" borderId="19" xfId="6" applyNumberFormat="1" applyFont="1" applyFill="1" applyBorder="1" applyProtection="1">
      <protection hidden="1"/>
    </xf>
    <xf numFmtId="0" fontId="47" fillId="31" borderId="8" xfId="6" applyFont="1" applyFill="1" applyBorder="1" applyAlignment="1" applyProtection="1">
      <alignment horizontal="left" wrapText="1"/>
      <protection hidden="1"/>
    </xf>
    <xf numFmtId="0" fontId="47" fillId="31" borderId="19" xfId="6" applyFont="1" applyFill="1" applyBorder="1" applyProtection="1">
      <protection hidden="1"/>
    </xf>
    <xf numFmtId="1" fontId="47" fillId="31" borderId="19" xfId="6" applyNumberFormat="1" applyFont="1" applyFill="1" applyBorder="1" applyProtection="1">
      <protection hidden="1"/>
    </xf>
    <xf numFmtId="0" fontId="47" fillId="31" borderId="8" xfId="6" applyFont="1" applyFill="1" applyBorder="1" applyAlignment="1" applyProtection="1">
      <alignment horizontal="left" vertical="center"/>
      <protection hidden="1"/>
    </xf>
    <xf numFmtId="1" fontId="47" fillId="31" borderId="19" xfId="6" applyNumberFormat="1" applyFont="1" applyFill="1" applyBorder="1" applyAlignment="1" applyProtection="1">
      <alignment horizontal="right" vertical="center"/>
      <protection hidden="1"/>
    </xf>
    <xf numFmtId="0" fontId="17" fillId="31" borderId="8" xfId="6" applyFont="1" applyFill="1" applyBorder="1" applyAlignment="1" applyProtection="1">
      <alignment horizontal="right"/>
      <protection hidden="1"/>
    </xf>
    <xf numFmtId="0" fontId="46" fillId="31" borderId="8" xfId="1" applyFont="1" applyFill="1" applyBorder="1" applyAlignment="1" applyProtection="1">
      <alignment horizontal="left"/>
      <protection hidden="1"/>
    </xf>
    <xf numFmtId="1" fontId="46" fillId="31" borderId="8" xfId="1" applyNumberFormat="1" applyFont="1" applyFill="1" applyBorder="1" applyAlignment="1" applyProtection="1">
      <alignment horizontal="right" vertical="center"/>
      <protection hidden="1"/>
    </xf>
    <xf numFmtId="0" fontId="46" fillId="31" borderId="8" xfId="1" applyFont="1" applyFill="1" applyBorder="1" applyAlignment="1" applyProtection="1">
      <alignment horizontal="right" vertical="center"/>
      <protection hidden="1"/>
    </xf>
    <xf numFmtId="0" fontId="44" fillId="31" borderId="8" xfId="6" applyFont="1" applyFill="1" applyBorder="1" applyAlignment="1" applyProtection="1">
      <alignment horizontal="left"/>
      <protection hidden="1"/>
    </xf>
    <xf numFmtId="1" fontId="44" fillId="31" borderId="8" xfId="6" applyNumberFormat="1" applyFont="1" applyFill="1" applyBorder="1" applyAlignment="1" applyProtection="1">
      <alignment horizontal="right" vertical="center"/>
      <protection hidden="1"/>
    </xf>
    <xf numFmtId="1" fontId="1" fillId="0" borderId="0" xfId="6" applyNumberFormat="1" applyBorder="1" applyProtection="1">
      <protection hidden="1"/>
    </xf>
    <xf numFmtId="0" fontId="76" fillId="0" borderId="0" xfId="7" applyFill="1" applyBorder="1" applyProtection="1">
      <protection hidden="1"/>
    </xf>
    <xf numFmtId="0" fontId="48" fillId="0" borderId="0" xfId="7" applyFont="1" applyFill="1" applyBorder="1" applyAlignment="1" applyProtection="1">
      <alignment horizontal="center"/>
      <protection hidden="1"/>
    </xf>
    <xf numFmtId="0" fontId="58" fillId="0" borderId="0" xfId="6" applyFont="1" applyFill="1" applyBorder="1" applyProtection="1">
      <protection hidden="1"/>
    </xf>
    <xf numFmtId="1" fontId="18" fillId="0" borderId="0" xfId="6" applyNumberFormat="1" applyFont="1" applyFill="1" applyBorder="1" applyAlignment="1" applyProtection="1">
      <alignment horizontal="center" vertical="center"/>
      <protection hidden="1"/>
    </xf>
    <xf numFmtId="0" fontId="61" fillId="0" borderId="0" xfId="0" applyFont="1" applyFill="1" applyBorder="1"/>
    <xf numFmtId="1" fontId="21" fillId="0" borderId="0" xfId="0" applyNumberFormat="1" applyFont="1" applyFill="1" applyBorder="1" applyAlignment="1">
      <alignment horizontal="center"/>
    </xf>
    <xf numFmtId="0" fontId="58" fillId="0" borderId="0" xfId="6" applyFont="1" applyFill="1" applyBorder="1" applyAlignment="1" applyProtection="1">
      <alignment wrapText="1"/>
      <protection hidden="1"/>
    </xf>
    <xf numFmtId="0" fontId="61" fillId="0" borderId="0" xfId="10" applyFont="1" applyFill="1" applyBorder="1" applyAlignment="1" applyProtection="1">
      <alignment wrapText="1"/>
      <protection hidden="1"/>
    </xf>
    <xf numFmtId="3" fontId="103" fillId="0" borderId="0" xfId="6" applyNumberFormat="1" applyFont="1" applyFill="1" applyBorder="1" applyAlignment="1" applyProtection="1">
      <alignment horizontal="center"/>
      <protection hidden="1"/>
    </xf>
    <xf numFmtId="0" fontId="104" fillId="0" borderId="0" xfId="0" applyFont="1" applyFill="1" applyBorder="1" applyAlignment="1">
      <alignment horizontal="left" wrapText="1"/>
    </xf>
    <xf numFmtId="0" fontId="97" fillId="0" borderId="0" xfId="6" applyFont="1" applyFill="1" applyBorder="1" applyAlignment="1" applyProtection="1">
      <alignment horizontal="center" wrapText="1"/>
      <protection hidden="1"/>
    </xf>
    <xf numFmtId="0" fontId="0" fillId="0" borderId="0" xfId="7" applyFont="1" applyFill="1" applyBorder="1" applyAlignment="1" applyProtection="1">
      <alignment horizontal="center"/>
      <protection hidden="1"/>
    </xf>
    <xf numFmtId="0" fontId="106" fillId="0" borderId="0" xfId="6" applyFont="1" applyFill="1" applyBorder="1" applyAlignment="1" applyProtection="1">
      <alignment horizontal="center" vertical="center" wrapText="1"/>
      <protection hidden="1"/>
    </xf>
    <xf numFmtId="0" fontId="96" fillId="0" borderId="3" xfId="6" applyFont="1" applyBorder="1" applyAlignment="1" applyProtection="1">
      <alignment horizontal="left" vertical="center" wrapText="1"/>
      <protection locked="0"/>
    </xf>
    <xf numFmtId="0" fontId="97" fillId="4" borderId="4" xfId="6" applyFont="1" applyFill="1" applyBorder="1" applyAlignment="1" applyProtection="1">
      <alignment horizontal="center" vertical="center"/>
      <protection locked="0"/>
    </xf>
    <xf numFmtId="0" fontId="96" fillId="0" borderId="4" xfId="6" applyFont="1" applyBorder="1" applyAlignment="1" applyProtection="1">
      <alignment horizontal="left" vertical="center"/>
      <protection locked="0"/>
    </xf>
    <xf numFmtId="0" fontId="97" fillId="4" borderId="4" xfId="6" applyFont="1" applyFill="1" applyBorder="1" applyAlignment="1" applyProtection="1">
      <alignment horizontal="center" vertical="center" wrapText="1"/>
      <protection locked="0"/>
    </xf>
    <xf numFmtId="0" fontId="109" fillId="0" borderId="4" xfId="6" applyFont="1" applyBorder="1" applyAlignment="1" applyProtection="1">
      <alignment horizontal="left"/>
      <protection locked="0"/>
    </xf>
    <xf numFmtId="0" fontId="97" fillId="4" borderId="5" xfId="6" applyFont="1" applyFill="1" applyBorder="1" applyAlignment="1" applyProtection="1">
      <alignment horizontal="center" vertical="center"/>
      <protection locked="0"/>
    </xf>
    <xf numFmtId="0" fontId="96" fillId="0" borderId="7" xfId="6" applyFont="1" applyBorder="1" applyAlignment="1" applyProtection="1">
      <alignment horizontal="left" vertical="center"/>
      <protection locked="0"/>
    </xf>
    <xf numFmtId="0" fontId="97" fillId="4" borderId="8" xfId="9" applyFont="1" applyFill="1" applyBorder="1" applyAlignment="1" applyProtection="1">
      <alignment horizontal="center" vertical="center" wrapText="1"/>
      <protection locked="0"/>
    </xf>
    <xf numFmtId="0" fontId="96" fillId="0" borderId="13" xfId="6" applyFont="1" applyBorder="1" applyAlignment="1" applyProtection="1">
      <alignment horizontal="left" vertical="center"/>
      <protection locked="0"/>
    </xf>
    <xf numFmtId="0" fontId="97" fillId="0" borderId="13" xfId="9" applyFont="1" applyFill="1" applyBorder="1" applyAlignment="1" applyProtection="1">
      <alignment horizontal="center" vertical="center"/>
    </xf>
    <xf numFmtId="0" fontId="96" fillId="0" borderId="8" xfId="6" applyFont="1" applyBorder="1" applyAlignment="1" applyProtection="1">
      <protection locked="0"/>
    </xf>
    <xf numFmtId="0" fontId="96" fillId="0" borderId="11" xfId="6" applyFont="1" applyBorder="1" applyAlignment="1" applyProtection="1">
      <alignment horizontal="left" vertical="center" wrapText="1"/>
      <protection locked="0"/>
    </xf>
    <xf numFmtId="14" fontId="103" fillId="4" borderId="12" xfId="9" applyNumberFormat="1" applyFont="1" applyFill="1" applyBorder="1" applyAlignment="1" applyProtection="1">
      <alignment horizontal="center" vertical="center" wrapText="1"/>
      <protection locked="0"/>
    </xf>
    <xf numFmtId="0" fontId="97" fillId="4" borderId="13" xfId="9" applyFont="1" applyFill="1" applyBorder="1" applyAlignment="1" applyProtection="1">
      <alignment horizontal="center" vertical="center"/>
      <protection locked="0"/>
    </xf>
    <xf numFmtId="0" fontId="96" fillId="0" borderId="13" xfId="6" applyFont="1" applyBorder="1" applyAlignment="1" applyProtection="1">
      <protection locked="0"/>
    </xf>
    <xf numFmtId="0" fontId="97" fillId="4" borderId="14" xfId="6" applyFont="1" applyFill="1" applyBorder="1" applyAlignment="1" applyProtection="1">
      <alignment horizontal="center" wrapText="1"/>
      <protection locked="0"/>
    </xf>
    <xf numFmtId="0" fontId="97" fillId="29" borderId="0" xfId="6" applyFont="1" applyFill="1" applyAlignment="1">
      <alignment horizontal="left" vertical="center" wrapText="1"/>
    </xf>
    <xf numFmtId="1" fontId="17" fillId="11" borderId="18" xfId="6" applyNumberFormat="1" applyFont="1" applyFill="1" applyBorder="1" applyProtection="1">
      <protection hidden="1"/>
    </xf>
    <xf numFmtId="1" fontId="1" fillId="0" borderId="0" xfId="6" applyNumberFormat="1"/>
    <xf numFmtId="1" fontId="18" fillId="0" borderId="0" xfId="6" applyNumberFormat="1" applyFont="1" applyFill="1" applyBorder="1" applyAlignment="1" applyProtection="1">
      <alignment horizontal="center"/>
      <protection locked="0"/>
    </xf>
    <xf numFmtId="1" fontId="21" fillId="0" borderId="0" xfId="9" applyNumberFormat="1" applyFont="1" applyFill="1" applyBorder="1" applyAlignment="1" applyProtection="1">
      <alignment horizontal="center"/>
      <protection locked="0"/>
    </xf>
    <xf numFmtId="0" fontId="3" fillId="8" borderId="0" xfId="9" applyFont="1" applyFill="1"/>
    <xf numFmtId="0" fontId="107" fillId="32" borderId="0" xfId="6" applyFont="1" applyFill="1"/>
    <xf numFmtId="0" fontId="120" fillId="32" borderId="0" xfId="6" applyFont="1" applyFill="1"/>
    <xf numFmtId="0" fontId="27" fillId="34" borderId="0" xfId="6" applyFont="1" applyFill="1"/>
    <xf numFmtId="0" fontId="107" fillId="35" borderId="0" xfId="6" applyFont="1" applyFill="1"/>
    <xf numFmtId="0" fontId="76" fillId="35" borderId="0" xfId="9" applyFont="1" applyFill="1"/>
    <xf numFmtId="0" fontId="76" fillId="32" borderId="0" xfId="9" applyFont="1" applyFill="1"/>
    <xf numFmtId="14" fontId="107" fillId="35" borderId="0" xfId="6" applyNumberFormat="1" applyFont="1" applyFill="1"/>
    <xf numFmtId="0" fontId="107" fillId="35" borderId="0" xfId="6" applyFont="1" applyFill="1" applyAlignment="1">
      <alignment horizontal="right"/>
    </xf>
    <xf numFmtId="1" fontId="107" fillId="32" borderId="0" xfId="6" applyNumberFormat="1" applyFont="1" applyFill="1"/>
    <xf numFmtId="0" fontId="22" fillId="35" borderId="8" xfId="6" applyFont="1" applyFill="1" applyBorder="1" applyProtection="1">
      <protection hidden="1"/>
    </xf>
    <xf numFmtId="0" fontId="107" fillId="36" borderId="0" xfId="6" applyFont="1" applyFill="1"/>
    <xf numFmtId="0" fontId="17" fillId="17" borderId="46" xfId="10" applyFont="1" applyFill="1" applyBorder="1" applyAlignment="1" applyProtection="1">
      <alignment horizontal="center" vertical="center" wrapText="1"/>
      <protection locked="0"/>
    </xf>
    <xf numFmtId="0" fontId="17" fillId="11" borderId="0" xfId="6" applyFont="1" applyFill="1" applyBorder="1" applyProtection="1">
      <protection hidden="1"/>
    </xf>
    <xf numFmtId="0" fontId="97" fillId="4" borderId="5" xfId="6" applyFont="1" applyFill="1" applyBorder="1" applyAlignment="1" applyProtection="1">
      <alignment horizontal="center" vertical="center" wrapText="1"/>
      <protection locked="0"/>
    </xf>
    <xf numFmtId="0" fontId="122" fillId="0" borderId="0" xfId="6" applyFont="1" applyProtection="1"/>
    <xf numFmtId="0" fontId="15" fillId="0" borderId="35" xfId="6" applyFont="1" applyBorder="1" applyAlignment="1">
      <alignment vertical="center" wrapText="1"/>
    </xf>
    <xf numFmtId="0" fontId="15" fillId="0" borderId="46" xfId="6" applyFont="1" applyBorder="1" applyAlignment="1">
      <alignment vertical="center" wrapText="1"/>
    </xf>
    <xf numFmtId="0" fontId="0" fillId="0" borderId="0" xfId="7" applyFont="1"/>
    <xf numFmtId="0" fontId="96" fillId="38" borderId="46" xfId="6" applyFont="1" applyFill="1" applyBorder="1" applyProtection="1">
      <protection hidden="1"/>
    </xf>
    <xf numFmtId="164" fontId="96" fillId="38" borderId="46" xfId="6" applyNumberFormat="1" applyFont="1" applyFill="1" applyBorder="1" applyProtection="1">
      <protection hidden="1"/>
    </xf>
    <xf numFmtId="2" fontId="96" fillId="38" borderId="46" xfId="6" applyNumberFormat="1" applyFont="1" applyFill="1" applyBorder="1" applyAlignment="1" applyProtection="1">
      <alignment wrapText="1"/>
      <protection hidden="1"/>
    </xf>
    <xf numFmtId="0" fontId="96" fillId="38" borderId="46" xfId="6" applyFont="1" applyFill="1" applyBorder="1" applyAlignment="1" applyProtection="1">
      <alignment wrapText="1"/>
      <protection hidden="1"/>
    </xf>
    <xf numFmtId="1" fontId="96" fillId="38" borderId="46" xfId="6" applyNumberFormat="1" applyFont="1" applyFill="1" applyBorder="1" applyProtection="1">
      <protection hidden="1"/>
    </xf>
    <xf numFmtId="1" fontId="96" fillId="38" borderId="46" xfId="6" applyNumberFormat="1" applyFont="1" applyFill="1" applyBorder="1" applyAlignment="1" applyProtection="1">
      <alignment wrapText="1"/>
      <protection hidden="1"/>
    </xf>
    <xf numFmtId="1" fontId="92" fillId="38" borderId="46" xfId="9" applyNumberFormat="1" applyFont="1" applyFill="1" applyBorder="1" applyAlignment="1" applyProtection="1">
      <alignment horizontal="right"/>
      <protection hidden="1"/>
    </xf>
    <xf numFmtId="1" fontId="106" fillId="38" borderId="46" xfId="6" applyNumberFormat="1" applyFont="1" applyFill="1" applyBorder="1" applyProtection="1">
      <protection hidden="1"/>
    </xf>
    <xf numFmtId="0" fontId="96" fillId="0" borderId="46" xfId="6" applyFont="1" applyFill="1" applyBorder="1"/>
    <xf numFmtId="0" fontId="96" fillId="0" borderId="46" xfId="6" applyFont="1" applyFill="1" applyBorder="1" applyAlignment="1" applyProtection="1">
      <alignment wrapText="1"/>
      <protection hidden="1"/>
    </xf>
    <xf numFmtId="1" fontId="97" fillId="38" borderId="46" xfId="6" applyNumberFormat="1" applyFont="1" applyFill="1" applyBorder="1" applyAlignment="1" applyProtection="1">
      <alignment wrapText="1"/>
      <protection hidden="1"/>
    </xf>
    <xf numFmtId="1" fontId="123" fillId="0" borderId="46" xfId="6" applyNumberFormat="1" applyFont="1" applyFill="1" applyBorder="1"/>
    <xf numFmtId="0" fontId="96" fillId="0" borderId="3" xfId="6" applyFont="1" applyBorder="1" applyAlignment="1" applyProtection="1">
      <alignment horizontal="left" vertical="center"/>
      <protection locked="0"/>
    </xf>
    <xf numFmtId="0" fontId="97" fillId="4" borderId="8" xfId="7" applyFont="1" applyFill="1" applyBorder="1" applyAlignment="1" applyProtection="1">
      <alignment horizontal="center" vertical="center" wrapText="1"/>
      <protection locked="0"/>
    </xf>
    <xf numFmtId="0" fontId="97" fillId="0" borderId="13" xfId="7" applyFont="1" applyFill="1" applyBorder="1" applyAlignment="1" applyProtection="1">
      <alignment horizontal="center" vertical="center"/>
    </xf>
    <xf numFmtId="14" fontId="103" fillId="4" borderId="12" xfId="7" applyNumberFormat="1" applyFont="1" applyFill="1" applyBorder="1" applyAlignment="1" applyProtection="1">
      <alignment horizontal="center" vertical="center" wrapText="1"/>
      <protection locked="0"/>
    </xf>
    <xf numFmtId="0" fontId="97" fillId="4" borderId="13" xfId="7" applyFont="1" applyFill="1" applyBorder="1" applyAlignment="1" applyProtection="1">
      <alignment horizontal="center" vertical="center"/>
      <protection locked="0"/>
    </xf>
    <xf numFmtId="0" fontId="96" fillId="0" borderId="0" xfId="6" applyFont="1" applyAlignment="1">
      <alignment wrapText="1"/>
    </xf>
    <xf numFmtId="0" fontId="96" fillId="14" borderId="13" xfId="6" applyFont="1" applyFill="1" applyBorder="1" applyAlignment="1" applyProtection="1">
      <alignment wrapText="1"/>
      <protection locked="0"/>
    </xf>
    <xf numFmtId="0" fontId="97" fillId="0" borderId="14" xfId="6" applyFont="1" applyFill="1" applyBorder="1" applyAlignment="1" applyProtection="1">
      <alignment horizontal="center" wrapText="1"/>
      <protection locked="0"/>
    </xf>
    <xf numFmtId="1" fontId="115" fillId="5" borderId="8" xfId="6" applyNumberFormat="1" applyFont="1" applyFill="1" applyBorder="1" applyProtection="1">
      <protection hidden="1"/>
    </xf>
    <xf numFmtId="1" fontId="1" fillId="0" borderId="0" xfId="6" applyNumberFormat="1" applyBorder="1"/>
    <xf numFmtId="1" fontId="115" fillId="5" borderId="19" xfId="6" applyNumberFormat="1" applyFont="1" applyFill="1" applyBorder="1" applyProtection="1">
      <protection hidden="1"/>
    </xf>
    <xf numFmtId="1" fontId="21" fillId="0" borderId="0" xfId="9" applyNumberFormat="1" applyFont="1" applyBorder="1" applyAlignment="1">
      <alignment horizontal="center" vertical="center" wrapText="1"/>
    </xf>
    <xf numFmtId="0" fontId="15" fillId="0" borderId="35" xfId="6" applyFont="1" applyBorder="1" applyAlignment="1">
      <alignment wrapText="1"/>
    </xf>
    <xf numFmtId="0" fontId="27" fillId="39" borderId="0" xfId="6" applyFont="1" applyFill="1"/>
    <xf numFmtId="0" fontId="3" fillId="39" borderId="0" xfId="7" applyFont="1" applyFill="1" applyAlignment="1" applyProtection="1">
      <alignment horizontal="center"/>
      <protection hidden="1"/>
    </xf>
    <xf numFmtId="0" fontId="27" fillId="39" borderId="0" xfId="6" applyFont="1" applyFill="1" applyBorder="1"/>
    <xf numFmtId="0" fontId="1" fillId="40" borderId="0" xfId="6" applyFill="1"/>
    <xf numFmtId="0" fontId="124" fillId="0" borderId="0" xfId="6" applyFont="1" applyFill="1" applyAlignment="1">
      <alignment wrapText="1"/>
    </xf>
    <xf numFmtId="0" fontId="124" fillId="0" borderId="0" xfId="6" applyFont="1" applyFill="1"/>
    <xf numFmtId="0" fontId="83" fillId="35" borderId="0" xfId="6" applyFont="1" applyFill="1"/>
    <xf numFmtId="0" fontId="86" fillId="35" borderId="0" xfId="7" applyFont="1" applyFill="1"/>
    <xf numFmtId="0" fontId="27" fillId="36" borderId="0" xfId="6" applyFont="1" applyFill="1"/>
    <xf numFmtId="0" fontId="38" fillId="35" borderId="0" xfId="6" applyFont="1" applyFill="1"/>
    <xf numFmtId="0" fontId="28" fillId="36" borderId="0" xfId="6" applyFont="1" applyFill="1"/>
    <xf numFmtId="0" fontId="42" fillId="36" borderId="0" xfId="6" applyFont="1" applyFill="1"/>
    <xf numFmtId="0" fontId="27" fillId="36" borderId="0" xfId="6" applyFont="1" applyFill="1" applyBorder="1" applyAlignment="1"/>
    <xf numFmtId="0" fontId="29" fillId="36" borderId="0" xfId="6" applyFont="1" applyFill="1" applyBorder="1"/>
    <xf numFmtId="0" fontId="27" fillId="36" borderId="0" xfId="6" applyFont="1" applyFill="1" applyBorder="1"/>
    <xf numFmtId="0" fontId="27" fillId="35" borderId="0" xfId="6" applyFont="1" applyFill="1"/>
    <xf numFmtId="0" fontId="30" fillId="36" borderId="0" xfId="10" applyFont="1" applyFill="1" applyBorder="1" applyAlignment="1">
      <alignment horizontal="center" vertical="top" wrapText="1"/>
    </xf>
    <xf numFmtId="0" fontId="30" fillId="36" borderId="0" xfId="10" applyFont="1" applyFill="1" applyBorder="1" applyAlignment="1">
      <alignment vertical="top" wrapText="1"/>
    </xf>
    <xf numFmtId="0" fontId="3" fillId="36" borderId="0" xfId="7" applyFont="1" applyFill="1"/>
    <xf numFmtId="0" fontId="3" fillId="36" borderId="0" xfId="10" applyFont="1" applyFill="1" applyBorder="1" applyAlignment="1">
      <alignment vertical="top" wrapText="1"/>
    </xf>
    <xf numFmtId="0" fontId="32" fillId="36" borderId="0" xfId="10" applyFont="1" applyFill="1" applyBorder="1" applyAlignment="1">
      <alignment horizontal="center" vertical="top" wrapText="1"/>
    </xf>
    <xf numFmtId="0" fontId="32" fillId="36" borderId="0" xfId="10" applyFont="1" applyFill="1" applyBorder="1" applyAlignment="1">
      <alignment vertical="top" wrapText="1"/>
    </xf>
    <xf numFmtId="167" fontId="27" fillId="36" borderId="0" xfId="6" applyNumberFormat="1" applyFont="1" applyFill="1"/>
    <xf numFmtId="0" fontId="112" fillId="36" borderId="0" xfId="6" applyFont="1" applyFill="1"/>
    <xf numFmtId="0" fontId="3" fillId="36" borderId="0" xfId="10" applyFont="1" applyFill="1" applyAlignment="1" applyProtection="1">
      <alignment horizontal="center"/>
      <protection hidden="1"/>
    </xf>
    <xf numFmtId="0" fontId="113" fillId="35" borderId="0" xfId="6" applyFont="1" applyFill="1"/>
    <xf numFmtId="0" fontId="3" fillId="35" borderId="0" xfId="0" applyFont="1" applyFill="1"/>
    <xf numFmtId="0" fontId="3" fillId="35" borderId="0" xfId="7" applyFont="1" applyFill="1"/>
    <xf numFmtId="0" fontId="76" fillId="0" borderId="0" xfId="7"/>
    <xf numFmtId="0" fontId="30" fillId="39" borderId="0" xfId="7" applyFont="1" applyFill="1" applyBorder="1" applyAlignment="1">
      <alignment vertical="top" wrapText="1"/>
    </xf>
    <xf numFmtId="0" fontId="3" fillId="39" borderId="0" xfId="7" applyFont="1" applyFill="1" applyBorder="1" applyAlignment="1">
      <alignment vertical="top" wrapText="1"/>
    </xf>
    <xf numFmtId="0" fontId="36" fillId="39" borderId="0" xfId="7" applyFont="1" applyFill="1" applyBorder="1" applyAlignment="1">
      <alignment horizontal="center" vertical="top" wrapText="1"/>
    </xf>
    <xf numFmtId="0" fontId="32" fillId="39" borderId="0" xfId="7" applyFont="1" applyFill="1" applyBorder="1" applyAlignment="1">
      <alignment horizontal="center" vertical="top" wrapText="1"/>
    </xf>
    <xf numFmtId="0" fontId="36" fillId="39" borderId="0" xfId="7" applyFont="1" applyFill="1" applyBorder="1" applyAlignment="1">
      <alignment vertical="top" wrapText="1"/>
    </xf>
    <xf numFmtId="0" fontId="32" fillId="39" borderId="0" xfId="7" applyFont="1" applyFill="1" applyBorder="1" applyAlignment="1">
      <alignment vertical="top" wrapText="1"/>
    </xf>
    <xf numFmtId="0" fontId="30" fillId="39" borderId="0" xfId="7" applyFont="1" applyFill="1" applyBorder="1" applyAlignment="1">
      <alignment horizontal="center" vertical="center" wrapText="1"/>
    </xf>
    <xf numFmtId="0" fontId="30" fillId="39" borderId="0" xfId="7" applyFont="1" applyFill="1" applyBorder="1" applyAlignment="1">
      <alignment horizontal="center" vertical="top" wrapText="1"/>
    </xf>
    <xf numFmtId="0" fontId="28" fillId="39" borderId="0" xfId="6" applyFont="1" applyFill="1"/>
    <xf numFmtId="0" fontId="42" fillId="39" borderId="0" xfId="6" applyFont="1" applyFill="1"/>
    <xf numFmtId="0" fontId="28" fillId="39" borderId="0" xfId="6" applyFont="1" applyFill="1" applyBorder="1" applyAlignment="1"/>
    <xf numFmtId="0" fontId="27" fillId="39" borderId="0" xfId="6" applyFont="1" applyFill="1" applyBorder="1" applyAlignment="1"/>
    <xf numFmtId="0" fontId="29" fillId="39" borderId="0" xfId="6" applyFont="1" applyFill="1" applyBorder="1"/>
    <xf numFmtId="0" fontId="36" fillId="39" borderId="0" xfId="7" applyFont="1" applyFill="1" applyBorder="1" applyAlignment="1">
      <alignment vertical="center" wrapText="1"/>
    </xf>
    <xf numFmtId="0" fontId="68" fillId="39" borderId="0" xfId="3" applyFont="1" applyFill="1" applyBorder="1"/>
    <xf numFmtId="0" fontId="36" fillId="39" borderId="0" xfId="7" applyFont="1" applyFill="1" applyBorder="1" applyAlignment="1">
      <alignment horizontal="center" vertical="center" wrapText="1"/>
    </xf>
    <xf numFmtId="164" fontId="36" fillId="39" borderId="0" xfId="7" applyNumberFormat="1" applyFont="1" applyFill="1" applyBorder="1" applyAlignment="1">
      <alignment horizontal="center" vertical="top" wrapText="1"/>
    </xf>
    <xf numFmtId="0" fontId="27" fillId="39" borderId="0" xfId="4" applyFont="1" applyFill="1" applyBorder="1"/>
    <xf numFmtId="0" fontId="27" fillId="39" borderId="0" xfId="5" applyFont="1" applyFill="1" applyBorder="1"/>
    <xf numFmtId="0" fontId="76" fillId="0" borderId="0" xfId="7" applyBorder="1"/>
    <xf numFmtId="0" fontId="25" fillId="41" borderId="19" xfId="7" applyFont="1" applyFill="1" applyBorder="1" applyAlignment="1" applyProtection="1">
      <alignment horizontal="center"/>
      <protection locked="0"/>
    </xf>
    <xf numFmtId="0" fontId="18" fillId="42" borderId="46" xfId="0" applyFont="1" applyFill="1" applyBorder="1" applyAlignment="1" applyProtection="1">
      <alignment horizontal="center" vertical="center"/>
      <protection locked="0"/>
    </xf>
    <xf numFmtId="0" fontId="44" fillId="0" borderId="46" xfId="6" applyFont="1" applyFill="1" applyBorder="1" applyAlignment="1" applyProtection="1">
      <alignment horizontal="center" vertical="center" wrapText="1"/>
      <protection locked="0"/>
    </xf>
    <xf numFmtId="0" fontId="15" fillId="43" borderId="46" xfId="6" applyFont="1" applyFill="1" applyBorder="1" applyAlignment="1" applyProtection="1">
      <alignment horizontal="center"/>
      <protection locked="0"/>
    </xf>
    <xf numFmtId="0" fontId="45" fillId="41" borderId="8" xfId="0" applyFont="1" applyFill="1" applyBorder="1" applyAlignment="1" applyProtection="1">
      <alignment horizontal="center"/>
      <protection locked="0"/>
    </xf>
    <xf numFmtId="0" fontId="97" fillId="44" borderId="46" xfId="6" applyFont="1" applyFill="1" applyBorder="1" applyAlignment="1">
      <alignment horizontal="left" vertical="center" wrapText="1"/>
    </xf>
    <xf numFmtId="0" fontId="17" fillId="0" borderId="7" xfId="6" applyFont="1" applyFill="1" applyBorder="1" applyProtection="1">
      <protection hidden="1"/>
    </xf>
    <xf numFmtId="0" fontId="17" fillId="0" borderId="9" xfId="6" applyFont="1" applyFill="1" applyBorder="1" applyProtection="1">
      <protection hidden="1"/>
    </xf>
    <xf numFmtId="0" fontId="17" fillId="0" borderId="7" xfId="6" applyFont="1" applyFill="1" applyBorder="1" applyAlignment="1" applyProtection="1">
      <alignment horizontal="left"/>
      <protection hidden="1"/>
    </xf>
    <xf numFmtId="0" fontId="17" fillId="0" borderId="7" xfId="6" applyFont="1" applyFill="1" applyBorder="1" applyAlignment="1" applyProtection="1">
      <alignment horizontal="right"/>
      <protection hidden="1"/>
    </xf>
    <xf numFmtId="0" fontId="18" fillId="0" borderId="9" xfId="6" applyFont="1" applyFill="1" applyBorder="1" applyAlignment="1" applyProtection="1">
      <alignment wrapText="1"/>
      <protection hidden="1"/>
    </xf>
    <xf numFmtId="1" fontId="17" fillId="0" borderId="9" xfId="6" applyNumberFormat="1" applyFont="1" applyFill="1" applyBorder="1" applyProtection="1">
      <protection hidden="1"/>
    </xf>
    <xf numFmtId="0" fontId="0" fillId="0" borderId="0" xfId="0" applyFill="1" applyBorder="1"/>
    <xf numFmtId="0" fontId="106" fillId="0" borderId="0" xfId="6" applyFont="1" applyFill="1" applyBorder="1" applyAlignment="1" applyProtection="1">
      <alignment vertical="center" wrapText="1"/>
      <protection hidden="1"/>
    </xf>
    <xf numFmtId="0" fontId="76" fillId="0" borderId="0" xfId="10" applyFill="1" applyBorder="1" applyProtection="1">
      <protection hidden="1"/>
    </xf>
    <xf numFmtId="1" fontId="46" fillId="27" borderId="51" xfId="1" applyNumberFormat="1" applyFont="1" applyFill="1" applyBorder="1" applyAlignment="1" applyProtection="1">
      <alignment horizontal="right" vertical="center"/>
      <protection hidden="1"/>
    </xf>
    <xf numFmtId="1" fontId="47" fillId="27" borderId="51" xfId="6" applyNumberFormat="1" applyFont="1" applyFill="1" applyBorder="1" applyAlignment="1" applyProtection="1">
      <alignment horizontal="right"/>
      <protection hidden="1"/>
    </xf>
    <xf numFmtId="0" fontId="50" fillId="0" borderId="0" xfId="6" applyFont="1" applyFill="1" applyBorder="1" applyAlignment="1" applyProtection="1">
      <alignment horizontal="center"/>
      <protection hidden="1"/>
    </xf>
    <xf numFmtId="0" fontId="105" fillId="0" borderId="0" xfId="10" applyFont="1" applyFill="1" applyBorder="1" applyAlignment="1" applyProtection="1">
      <alignment vertical="center" wrapText="1"/>
      <protection hidden="1"/>
    </xf>
    <xf numFmtId="1" fontId="46" fillId="46" borderId="9" xfId="1" applyNumberFormat="1" applyFont="1" applyFill="1" applyBorder="1" applyAlignment="1" applyProtection="1">
      <alignment horizontal="right" vertical="center"/>
      <protection locked="0"/>
    </xf>
    <xf numFmtId="0" fontId="96" fillId="0" borderId="46" xfId="6" applyFont="1" applyBorder="1"/>
    <xf numFmtId="0" fontId="97" fillId="0" borderId="0" xfId="6" applyFont="1"/>
    <xf numFmtId="0" fontId="46" fillId="10" borderId="7" xfId="1" applyFont="1" applyFill="1" applyBorder="1" applyAlignment="1" applyProtection="1">
      <alignment horizontal="right" wrapText="1"/>
      <protection hidden="1"/>
    </xf>
    <xf numFmtId="0" fontId="109" fillId="0" borderId="4" xfId="6" applyFont="1" applyBorder="1" applyAlignment="1" applyProtection="1">
      <alignment horizontal="left" vertical="center" wrapText="1"/>
      <protection locked="0"/>
    </xf>
    <xf numFmtId="0" fontId="27" fillId="45" borderId="0" xfId="6" applyFont="1" applyFill="1"/>
    <xf numFmtId="0" fontId="3" fillId="45" borderId="0" xfId="7" applyFont="1" applyFill="1"/>
    <xf numFmtId="14" fontId="27" fillId="45" borderId="0" xfId="6" applyNumberFormat="1" applyFont="1" applyFill="1"/>
    <xf numFmtId="0" fontId="27" fillId="45" borderId="0" xfId="6" applyFont="1" applyFill="1" applyAlignment="1">
      <alignment horizontal="right"/>
    </xf>
    <xf numFmtId="1" fontId="27" fillId="45" borderId="0" xfId="6" applyNumberFormat="1" applyFont="1" applyFill="1"/>
    <xf numFmtId="0" fontId="68" fillId="45" borderId="8" xfId="6" applyFont="1" applyFill="1" applyBorder="1" applyProtection="1">
      <protection hidden="1"/>
    </xf>
    <xf numFmtId="0" fontId="27" fillId="47" borderId="0" xfId="6" applyFont="1" applyFill="1"/>
    <xf numFmtId="0" fontId="127" fillId="2" borderId="0" xfId="0" applyFont="1" applyFill="1" applyAlignment="1">
      <alignment horizontal="center" vertical="center"/>
    </xf>
    <xf numFmtId="0" fontId="128" fillId="2" borderId="0" xfId="0" applyFont="1" applyFill="1" applyBorder="1" applyAlignment="1">
      <alignment vertical="center"/>
    </xf>
    <xf numFmtId="0" fontId="129" fillId="2" borderId="0" xfId="0" applyFont="1" applyFill="1" applyBorder="1" applyAlignment="1">
      <alignment vertical="center"/>
    </xf>
    <xf numFmtId="0" fontId="117" fillId="2" borderId="0" xfId="0" applyFont="1" applyFill="1" applyAlignment="1">
      <alignment horizontal="center" vertical="center"/>
    </xf>
    <xf numFmtId="0" fontId="126" fillId="48" borderId="0" xfId="0" applyFont="1" applyFill="1" applyAlignment="1">
      <alignment vertical="center"/>
    </xf>
    <xf numFmtId="0" fontId="127" fillId="49" borderId="0" xfId="0" applyFont="1" applyFill="1" applyAlignment="1">
      <alignment horizontal="center" vertical="center"/>
    </xf>
    <xf numFmtId="0" fontId="128" fillId="49" borderId="0" xfId="0" applyFont="1" applyFill="1" applyBorder="1" applyAlignment="1">
      <alignment vertical="center"/>
    </xf>
    <xf numFmtId="0" fontId="129" fillId="49" borderId="0" xfId="0" applyFont="1" applyFill="1" applyBorder="1" applyAlignment="1">
      <alignment vertical="center"/>
    </xf>
    <xf numFmtId="0" fontId="117" fillId="49" borderId="0" xfId="0" applyFont="1" applyFill="1" applyAlignment="1">
      <alignment horizontal="center" vertical="center"/>
    </xf>
    <xf numFmtId="0" fontId="86" fillId="49" borderId="0" xfId="0" applyFont="1" applyFill="1" applyAlignment="1">
      <alignment horizontal="center" vertical="center"/>
    </xf>
    <xf numFmtId="0" fontId="130" fillId="49" borderId="0" xfId="0" applyFont="1" applyFill="1" applyBorder="1" applyAlignment="1">
      <alignment vertical="center"/>
    </xf>
    <xf numFmtId="0" fontId="131" fillId="49" borderId="0" xfId="0" applyFont="1" applyFill="1" applyBorder="1" applyAlignment="1">
      <alignment vertical="center"/>
    </xf>
    <xf numFmtId="0" fontId="132" fillId="49" borderId="0" xfId="0" applyFont="1" applyFill="1" applyAlignment="1">
      <alignment vertical="center"/>
    </xf>
    <xf numFmtId="0" fontId="86" fillId="48" borderId="0" xfId="0" applyFont="1" applyFill="1"/>
    <xf numFmtId="0" fontId="133" fillId="49" borderId="0" xfId="0" applyFont="1" applyFill="1" applyBorder="1" applyAlignment="1">
      <alignment vertical="center"/>
    </xf>
    <xf numFmtId="0" fontId="134" fillId="48" borderId="0" xfId="0" applyFont="1" applyFill="1" applyAlignment="1"/>
    <xf numFmtId="0" fontId="135" fillId="49" borderId="0" xfId="0" applyFont="1" applyFill="1" applyBorder="1" applyAlignment="1">
      <alignment vertical="center"/>
    </xf>
    <xf numFmtId="0" fontId="136" fillId="49" borderId="0" xfId="0" applyFont="1" applyFill="1" applyBorder="1" applyAlignment="1">
      <alignment vertical="center"/>
    </xf>
    <xf numFmtId="0" fontId="137" fillId="49" borderId="0" xfId="0" applyFont="1" applyFill="1" applyBorder="1" applyAlignment="1">
      <alignment vertical="center"/>
    </xf>
    <xf numFmtId="0" fontId="6" fillId="49" borderId="0" xfId="0" applyFont="1" applyFill="1" applyAlignment="1">
      <alignment horizontal="center" vertical="center"/>
    </xf>
    <xf numFmtId="0" fontId="2" fillId="49" borderId="0" xfId="0" applyFont="1" applyFill="1" applyAlignment="1">
      <alignment horizontal="center" vertical="center"/>
    </xf>
    <xf numFmtId="0" fontId="18" fillId="42" borderId="46" xfId="7" applyFont="1" applyFill="1" applyBorder="1" applyAlignment="1" applyProtection="1">
      <alignment horizontal="center" vertical="center" wrapText="1"/>
      <protection locked="0"/>
    </xf>
    <xf numFmtId="0" fontId="92" fillId="44" borderId="46" xfId="10" applyFont="1" applyFill="1" applyBorder="1" applyAlignment="1">
      <alignment horizontal="left" vertical="center" wrapText="1"/>
    </xf>
    <xf numFmtId="0" fontId="44" fillId="44" borderId="46" xfId="6" applyFont="1" applyFill="1" applyBorder="1" applyAlignment="1" applyProtection="1">
      <alignment horizontal="left" vertical="center"/>
      <protection locked="0"/>
    </xf>
    <xf numFmtId="0" fontId="45" fillId="42" borderId="46" xfId="7" applyFont="1" applyFill="1" applyBorder="1" applyAlignment="1" applyProtection="1">
      <alignment horizontal="center" vertical="center" wrapText="1"/>
      <protection locked="0"/>
    </xf>
    <xf numFmtId="0" fontId="97" fillId="44" borderId="46" xfId="6" applyFont="1" applyFill="1" applyBorder="1" applyAlignment="1" applyProtection="1">
      <alignment horizontal="center" vertical="center" wrapText="1"/>
      <protection locked="0"/>
    </xf>
    <xf numFmtId="0" fontId="92" fillId="45" borderId="49" xfId="0" applyFont="1" applyFill="1" applyBorder="1" applyAlignment="1" applyProtection="1">
      <alignment horizontal="center" vertical="center"/>
      <protection locked="0"/>
    </xf>
    <xf numFmtId="0" fontId="76" fillId="0" borderId="0" xfId="7"/>
    <xf numFmtId="0" fontId="139" fillId="5" borderId="8" xfId="6" applyFont="1" applyFill="1" applyBorder="1" applyProtection="1">
      <protection hidden="1"/>
    </xf>
    <xf numFmtId="0" fontId="107" fillId="0" borderId="0" xfId="6" applyFont="1" applyFill="1"/>
    <xf numFmtId="0" fontId="17" fillId="0" borderId="46" xfId="6" applyFont="1" applyBorder="1" applyAlignment="1" applyProtection="1">
      <alignment horizontal="left" vertical="center"/>
      <protection locked="0"/>
    </xf>
    <xf numFmtId="0" fontId="18" fillId="4" borderId="46" xfId="6" applyFont="1" applyFill="1" applyBorder="1" applyAlignment="1" applyProtection="1">
      <alignment horizontal="center" vertical="center"/>
      <protection locked="0"/>
    </xf>
    <xf numFmtId="0" fontId="17" fillId="0" borderId="46" xfId="6" applyFont="1" applyBorder="1" applyAlignment="1" applyProtection="1">
      <alignment horizontal="left" vertical="center" wrapText="1"/>
      <protection locked="0"/>
    </xf>
    <xf numFmtId="0" fontId="18" fillId="4" borderId="46" xfId="6" applyFont="1" applyFill="1" applyBorder="1" applyAlignment="1" applyProtection="1">
      <alignment horizontal="center" vertical="center" wrapText="1"/>
      <protection locked="0"/>
    </xf>
    <xf numFmtId="0" fontId="18" fillId="4" borderId="46" xfId="0" applyFont="1" applyFill="1" applyBorder="1" applyAlignment="1" applyProtection="1">
      <alignment horizontal="center" vertical="center" wrapText="1"/>
      <protection locked="0"/>
    </xf>
    <xf numFmtId="0" fontId="17" fillId="0" borderId="46" xfId="6" applyFont="1" applyFill="1" applyBorder="1" applyAlignment="1" applyProtection="1">
      <alignment horizontal="left" vertical="center" wrapText="1"/>
      <protection locked="0"/>
    </xf>
    <xf numFmtId="0" fontId="21" fillId="4" borderId="46" xfId="0" applyFont="1" applyFill="1" applyBorder="1" applyAlignment="1" applyProtection="1">
      <alignment horizontal="center" vertical="center"/>
      <protection locked="0"/>
    </xf>
    <xf numFmtId="0" fontId="17" fillId="0" borderId="46" xfId="6" applyFont="1" applyBorder="1" applyAlignment="1" applyProtection="1">
      <alignment wrapText="1"/>
      <protection locked="0"/>
    </xf>
    <xf numFmtId="0" fontId="17" fillId="0" borderId="46" xfId="6" applyFont="1" applyBorder="1" applyAlignment="1" applyProtection="1">
      <alignment horizontal="left" wrapText="1"/>
      <protection locked="0"/>
    </xf>
    <xf numFmtId="0" fontId="18" fillId="4" borderId="46" xfId="0" applyFont="1" applyFill="1" applyBorder="1" applyAlignment="1" applyProtection="1">
      <alignment horizontal="center" vertical="center"/>
      <protection locked="0"/>
    </xf>
    <xf numFmtId="0" fontId="18" fillId="4" borderId="46" xfId="6" applyFont="1" applyFill="1" applyBorder="1" applyAlignment="1" applyProtection="1">
      <alignment horizontal="center" wrapText="1"/>
      <protection locked="0"/>
    </xf>
    <xf numFmtId="0" fontId="17" fillId="0" borderId="46" xfId="6" applyFont="1" applyBorder="1" applyAlignment="1" applyProtection="1">
      <alignment vertical="center" wrapText="1"/>
      <protection locked="0"/>
    </xf>
    <xf numFmtId="0" fontId="19" fillId="0" borderId="46" xfId="7" applyFont="1" applyBorder="1" applyAlignment="1">
      <alignment vertical="center" wrapText="1"/>
    </xf>
    <xf numFmtId="0" fontId="18" fillId="33" borderId="54" xfId="6" applyFont="1" applyFill="1" applyBorder="1" applyAlignment="1" applyProtection="1">
      <alignment horizontal="center" vertical="center" wrapText="1"/>
      <protection locked="0"/>
    </xf>
    <xf numFmtId="0" fontId="96" fillId="0" borderId="12" xfId="6" applyFont="1" applyBorder="1" applyAlignment="1" applyProtection="1">
      <alignment horizontal="left" vertical="center"/>
      <protection locked="0"/>
    </xf>
    <xf numFmtId="0" fontId="21" fillId="4" borderId="12" xfId="7" applyFont="1" applyFill="1" applyBorder="1" applyAlignment="1" applyProtection="1">
      <alignment horizontal="center" vertical="center"/>
      <protection locked="0"/>
    </xf>
    <xf numFmtId="0" fontId="20" fillId="0" borderId="0" xfId="9" applyFont="1" applyFill="1" applyBorder="1" applyAlignment="1">
      <alignment wrapText="1"/>
    </xf>
    <xf numFmtId="0" fontId="18" fillId="0" borderId="46" xfId="6" applyFont="1" applyFill="1" applyBorder="1" applyAlignment="1" applyProtection="1">
      <alignment horizontal="center" wrapText="1"/>
      <protection locked="0"/>
    </xf>
    <xf numFmtId="0" fontId="17" fillId="0" borderId="46" xfId="6" applyFont="1" applyFill="1" applyBorder="1" applyAlignment="1" applyProtection="1">
      <alignment wrapText="1"/>
      <protection locked="0"/>
    </xf>
    <xf numFmtId="0" fontId="18" fillId="0" borderId="46" xfId="0" applyFont="1" applyFill="1" applyBorder="1" applyAlignment="1" applyProtection="1">
      <alignment horizontal="center" vertical="center" wrapText="1"/>
      <protection locked="0"/>
    </xf>
    <xf numFmtId="0" fontId="99" fillId="0" borderId="46" xfId="0" applyFont="1" applyBorder="1" applyAlignment="1">
      <alignment vertical="center" wrapText="1"/>
    </xf>
    <xf numFmtId="1" fontId="107" fillId="35" borderId="0" xfId="6" applyNumberFormat="1" applyFont="1" applyFill="1"/>
    <xf numFmtId="1" fontId="107" fillId="36" borderId="0" xfId="6" applyNumberFormat="1" applyFont="1" applyFill="1"/>
    <xf numFmtId="0" fontId="144" fillId="39" borderId="0" xfId="6" applyFont="1" applyFill="1"/>
    <xf numFmtId="1" fontId="144" fillId="39" borderId="0" xfId="6" applyNumberFormat="1" applyFont="1" applyFill="1"/>
    <xf numFmtId="1" fontId="17" fillId="0" borderId="8" xfId="6" applyNumberFormat="1" applyFont="1" applyFill="1" applyBorder="1" applyProtection="1">
      <protection hidden="1"/>
    </xf>
    <xf numFmtId="0" fontId="17" fillId="0" borderId="8" xfId="6" applyFont="1" applyFill="1" applyBorder="1" applyProtection="1">
      <protection hidden="1"/>
    </xf>
    <xf numFmtId="0" fontId="139" fillId="0" borderId="8" xfId="6" applyFont="1" applyFill="1" applyBorder="1" applyProtection="1">
      <protection hidden="1"/>
    </xf>
    <xf numFmtId="0" fontId="86" fillId="0" borderId="0" xfId="7" applyFont="1" applyFill="1" applyAlignment="1" applyProtection="1">
      <alignment horizontal="center"/>
      <protection hidden="1"/>
    </xf>
    <xf numFmtId="16" fontId="83" fillId="0" borderId="0" xfId="6" applyNumberFormat="1" applyFont="1" applyFill="1"/>
    <xf numFmtId="0" fontId="86" fillId="0" borderId="0" xfId="7" applyFont="1" applyFill="1" applyBorder="1" applyAlignment="1" applyProtection="1">
      <alignment horizontal="center"/>
      <protection hidden="1"/>
    </xf>
    <xf numFmtId="3" fontId="18" fillId="17" borderId="46" xfId="6" applyNumberFormat="1" applyFont="1" applyFill="1" applyBorder="1" applyAlignment="1" applyProtection="1">
      <alignment horizontal="center" vertical="center"/>
      <protection locked="0"/>
    </xf>
    <xf numFmtId="0" fontId="83" fillId="52" borderId="0" xfId="6" applyFont="1" applyFill="1" applyProtection="1">
      <protection hidden="1"/>
    </xf>
    <xf numFmtId="0" fontId="38" fillId="52" borderId="0" xfId="6" applyFont="1" applyFill="1" applyProtection="1">
      <protection hidden="1"/>
    </xf>
    <xf numFmtId="0" fontId="38" fillId="53" borderId="0" xfId="6" applyFont="1" applyFill="1" applyProtection="1">
      <protection hidden="1"/>
    </xf>
    <xf numFmtId="0" fontId="27" fillId="52" borderId="0" xfId="6" applyFont="1" applyFill="1" applyProtection="1">
      <protection hidden="1"/>
    </xf>
    <xf numFmtId="0" fontId="27" fillId="53" borderId="0" xfId="6" applyFont="1" applyFill="1" applyProtection="1">
      <protection hidden="1"/>
    </xf>
    <xf numFmtId="0" fontId="83" fillId="52" borderId="0" xfId="6" applyFont="1" applyFill="1"/>
    <xf numFmtId="0" fontId="84" fillId="52" borderId="0" xfId="6" applyFont="1" applyFill="1" applyBorder="1" applyAlignment="1" applyProtection="1">
      <protection hidden="1"/>
    </xf>
    <xf numFmtId="0" fontId="83" fillId="52" borderId="0" xfId="6" applyFont="1" applyFill="1" applyBorder="1" applyProtection="1">
      <protection hidden="1"/>
    </xf>
    <xf numFmtId="167" fontId="83" fillId="52" borderId="0" xfId="6" applyNumberFormat="1" applyFont="1" applyFill="1" applyBorder="1" applyProtection="1">
      <protection hidden="1"/>
    </xf>
    <xf numFmtId="0" fontId="107" fillId="52" borderId="0" xfId="6" applyFont="1" applyFill="1" applyProtection="1">
      <protection hidden="1"/>
    </xf>
    <xf numFmtId="0" fontId="107" fillId="53" borderId="0" xfId="6" applyFont="1" applyFill="1" applyProtection="1">
      <protection hidden="1"/>
    </xf>
    <xf numFmtId="0" fontId="86" fillId="52" borderId="0" xfId="10" applyFont="1" applyFill="1" applyBorder="1" applyAlignment="1" applyProtection="1">
      <alignment horizontal="center"/>
      <protection hidden="1"/>
    </xf>
    <xf numFmtId="0" fontId="83" fillId="52" borderId="0" xfId="6" applyFont="1" applyFill="1" applyAlignment="1" applyProtection="1">
      <protection hidden="1"/>
    </xf>
    <xf numFmtId="167" fontId="107" fillId="52" borderId="0" xfId="6" applyNumberFormat="1" applyFont="1" applyFill="1" applyProtection="1">
      <protection hidden="1"/>
    </xf>
    <xf numFmtId="0" fontId="0" fillId="52" borderId="0" xfId="10" applyFont="1" applyFill="1" applyAlignment="1" applyProtection="1">
      <alignment horizontal="center"/>
      <protection hidden="1"/>
    </xf>
    <xf numFmtId="0" fontId="83" fillId="52" borderId="0" xfId="6" applyFont="1" applyFill="1" applyProtection="1">
      <protection hidden="1"/>
    </xf>
    <xf numFmtId="0" fontId="86" fillId="52" borderId="0" xfId="0" applyFont="1" applyFill="1"/>
    <xf numFmtId="0" fontId="86" fillId="0" borderId="0" xfId="7" applyFont="1" applyFill="1"/>
    <xf numFmtId="0" fontId="97" fillId="50" borderId="0" xfId="6" applyFont="1" applyFill="1" applyBorder="1" applyAlignment="1" applyProtection="1">
      <alignment wrapText="1"/>
      <protection hidden="1"/>
    </xf>
    <xf numFmtId="0" fontId="26" fillId="0" borderId="0" xfId="6" applyFont="1" applyFill="1" applyAlignment="1" applyProtection="1">
      <alignment wrapText="1"/>
      <protection hidden="1"/>
    </xf>
    <xf numFmtId="1" fontId="0" fillId="0" borderId="0" xfId="0" applyNumberFormat="1" applyFill="1" applyBorder="1" applyProtection="1"/>
    <xf numFmtId="0" fontId="148" fillId="0" borderId="0" xfId="7" applyFont="1" applyProtection="1">
      <protection hidden="1"/>
    </xf>
    <xf numFmtId="0" fontId="148" fillId="0" borderId="0" xfId="10" applyFont="1" applyProtection="1">
      <protection hidden="1"/>
    </xf>
    <xf numFmtId="0" fontId="149" fillId="0" borderId="0" xfId="6" applyFont="1" applyProtection="1">
      <protection hidden="1"/>
    </xf>
    <xf numFmtId="0" fontId="148" fillId="0" borderId="0" xfId="7" applyFont="1"/>
    <xf numFmtId="0" fontId="149" fillId="0" borderId="0" xfId="6" applyFont="1"/>
    <xf numFmtId="0" fontId="96" fillId="18" borderId="46" xfId="6" applyFont="1" applyFill="1" applyBorder="1" applyAlignment="1" applyProtection="1">
      <protection hidden="1"/>
    </xf>
    <xf numFmtId="1" fontId="96" fillId="18" borderId="46" xfId="6" applyNumberFormat="1" applyFont="1" applyFill="1" applyBorder="1" applyAlignment="1" applyProtection="1">
      <protection hidden="1"/>
    </xf>
    <xf numFmtId="164" fontId="96" fillId="18" borderId="46" xfId="6" applyNumberFormat="1" applyFont="1" applyFill="1" applyBorder="1" applyProtection="1">
      <protection hidden="1"/>
    </xf>
    <xf numFmtId="1" fontId="22" fillId="18" borderId="46" xfId="10" applyNumberFormat="1" applyFont="1" applyFill="1" applyBorder="1" applyAlignment="1" applyProtection="1">
      <alignment horizontal="right"/>
      <protection hidden="1"/>
    </xf>
    <xf numFmtId="1" fontId="96" fillId="18" borderId="46" xfId="6" applyNumberFormat="1" applyFont="1" applyFill="1" applyBorder="1" applyProtection="1">
      <protection hidden="1"/>
    </xf>
    <xf numFmtId="1" fontId="17" fillId="18" borderId="46" xfId="6" applyNumberFormat="1" applyFont="1" applyFill="1" applyBorder="1" applyAlignment="1" applyProtection="1">
      <alignment horizontal="right"/>
      <protection hidden="1"/>
    </xf>
    <xf numFmtId="0" fontId="17" fillId="18" borderId="46" xfId="6" applyFont="1" applyFill="1" applyBorder="1" applyAlignment="1" applyProtection="1">
      <alignment horizontal="right"/>
      <protection hidden="1"/>
    </xf>
    <xf numFmtId="1" fontId="17" fillId="18" borderId="46" xfId="6" applyNumberFormat="1" applyFont="1" applyFill="1" applyBorder="1" applyProtection="1">
      <protection hidden="1"/>
    </xf>
    <xf numFmtId="0" fontId="96" fillId="18" borderId="46" xfId="6" applyFont="1" applyFill="1" applyBorder="1" applyProtection="1">
      <protection hidden="1"/>
    </xf>
    <xf numFmtId="0" fontId="109" fillId="20" borderId="46" xfId="6" applyFont="1" applyFill="1" applyBorder="1" applyAlignment="1" applyProtection="1">
      <alignment horizontal="right"/>
      <protection hidden="1"/>
    </xf>
    <xf numFmtId="1" fontId="96" fillId="20" borderId="46" xfId="6" applyNumberFormat="1" applyFont="1" applyFill="1" applyBorder="1" applyProtection="1">
      <protection hidden="1"/>
    </xf>
    <xf numFmtId="0" fontId="96" fillId="21" borderId="46" xfId="6" applyFont="1" applyFill="1" applyBorder="1" applyProtection="1">
      <protection hidden="1"/>
    </xf>
    <xf numFmtId="1" fontId="96" fillId="21" borderId="46" xfId="6" applyNumberFormat="1" applyFont="1" applyFill="1" applyBorder="1" applyProtection="1">
      <protection hidden="1"/>
    </xf>
    <xf numFmtId="0" fontId="96" fillId="22" borderId="46" xfId="6" applyFont="1" applyFill="1" applyBorder="1" applyProtection="1">
      <protection hidden="1"/>
    </xf>
    <xf numFmtId="1" fontId="96" fillId="22" borderId="46" xfId="6" applyNumberFormat="1" applyFont="1" applyFill="1" applyBorder="1" applyProtection="1">
      <protection hidden="1"/>
    </xf>
    <xf numFmtId="0" fontId="96" fillId="23" borderId="46" xfId="6" applyFont="1" applyFill="1" applyBorder="1" applyProtection="1">
      <protection hidden="1"/>
    </xf>
    <xf numFmtId="1" fontId="96" fillId="23" borderId="46" xfId="6" applyNumberFormat="1" applyFont="1" applyFill="1" applyBorder="1" applyProtection="1">
      <protection hidden="1"/>
    </xf>
    <xf numFmtId="1" fontId="96" fillId="24" borderId="46" xfId="6" applyNumberFormat="1" applyFont="1" applyFill="1" applyBorder="1" applyProtection="1">
      <protection hidden="1"/>
    </xf>
    <xf numFmtId="1" fontId="96" fillId="25" borderId="46" xfId="6" applyNumberFormat="1" applyFont="1" applyFill="1" applyBorder="1" applyProtection="1">
      <protection hidden="1"/>
    </xf>
    <xf numFmtId="0" fontId="96" fillId="0" borderId="46" xfId="6" applyFont="1" applyBorder="1" applyProtection="1">
      <protection hidden="1"/>
    </xf>
    <xf numFmtId="1" fontId="96" fillId="0" borderId="46" xfId="6" applyNumberFormat="1" applyFont="1" applyBorder="1" applyProtection="1">
      <protection hidden="1"/>
    </xf>
    <xf numFmtId="1" fontId="18" fillId="18" borderId="46" xfId="6" applyNumberFormat="1" applyFont="1" applyFill="1" applyBorder="1" applyProtection="1">
      <protection hidden="1"/>
    </xf>
    <xf numFmtId="0" fontId="17" fillId="9" borderId="46" xfId="6" applyFont="1" applyFill="1" applyBorder="1" applyProtection="1">
      <protection hidden="1"/>
    </xf>
    <xf numFmtId="0" fontId="17" fillId="9" borderId="46" xfId="6" applyFont="1" applyFill="1" applyBorder="1" applyAlignment="1" applyProtection="1">
      <alignment wrapText="1"/>
      <protection hidden="1"/>
    </xf>
    <xf numFmtId="0" fontId="18" fillId="9" borderId="46" xfId="6" applyFont="1" applyFill="1" applyBorder="1" applyAlignment="1" applyProtection="1">
      <alignment wrapText="1"/>
      <protection hidden="1"/>
    </xf>
    <xf numFmtId="1" fontId="17" fillId="9" borderId="46" xfId="6" applyNumberFormat="1" applyFont="1" applyFill="1" applyBorder="1" applyProtection="1">
      <protection hidden="1"/>
    </xf>
    <xf numFmtId="1" fontId="46" fillId="27" borderId="46" xfId="1" applyNumberFormat="1" applyFont="1" applyFill="1" applyBorder="1" applyAlignment="1" applyProtection="1">
      <alignment horizontal="right" vertical="center"/>
      <protection locked="0" hidden="1"/>
    </xf>
    <xf numFmtId="2" fontId="18" fillId="0" borderId="0" xfId="6" applyNumberFormat="1" applyFont="1" applyBorder="1" applyAlignment="1">
      <alignment horizontal="center" vertical="center" wrapText="1"/>
    </xf>
    <xf numFmtId="0" fontId="15" fillId="37" borderId="50" xfId="6" applyFont="1" applyFill="1" applyBorder="1" applyAlignment="1" applyProtection="1">
      <alignment horizontal="center" vertical="center" wrapText="1"/>
      <protection locked="0"/>
    </xf>
    <xf numFmtId="0" fontId="83" fillId="52" borderId="0" xfId="6" applyFont="1" applyFill="1" applyProtection="1">
      <protection hidden="1"/>
    </xf>
    <xf numFmtId="0" fontId="58" fillId="0" borderId="46" xfId="6" applyFont="1" applyFill="1" applyBorder="1" applyProtection="1"/>
    <xf numFmtId="2" fontId="21" fillId="0" borderId="46" xfId="10" applyNumberFormat="1" applyFont="1" applyFill="1" applyBorder="1" applyAlignment="1" applyProtection="1">
      <alignment horizontal="center" vertical="center"/>
    </xf>
    <xf numFmtId="1" fontId="18" fillId="0" borderId="46" xfId="6" applyNumberFormat="1" applyFont="1" applyFill="1" applyBorder="1" applyAlignment="1" applyProtection="1">
      <alignment horizontal="center" vertical="center"/>
    </xf>
    <xf numFmtId="0" fontId="61" fillId="0" borderId="46" xfId="0" applyFont="1" applyFill="1" applyBorder="1" applyProtection="1"/>
    <xf numFmtId="1" fontId="21" fillId="0" borderId="46" xfId="0" applyNumberFormat="1" applyFont="1" applyFill="1" applyBorder="1" applyAlignment="1" applyProtection="1">
      <alignment horizontal="center"/>
    </xf>
    <xf numFmtId="0" fontId="102" fillId="0" borderId="46" xfId="10" applyFont="1" applyFill="1" applyBorder="1" applyAlignment="1" applyProtection="1">
      <alignment horizontal="left" vertical="center" wrapText="1"/>
    </xf>
    <xf numFmtId="0" fontId="102" fillId="0" borderId="46" xfId="10" applyFont="1" applyFill="1" applyBorder="1" applyAlignment="1" applyProtection="1">
      <alignment horizontal="center" vertical="center" wrapText="1"/>
    </xf>
    <xf numFmtId="1" fontId="96" fillId="38" borderId="51" xfId="6" applyNumberFormat="1" applyFont="1" applyFill="1" applyBorder="1" applyAlignment="1" applyProtection="1">
      <alignment horizontal="right"/>
      <protection hidden="1"/>
    </xf>
    <xf numFmtId="1" fontId="96" fillId="0" borderId="51" xfId="6" applyNumberFormat="1" applyFont="1" applyFill="1" applyBorder="1"/>
    <xf numFmtId="0" fontId="17" fillId="0" borderId="19" xfId="6" applyFont="1" applyFill="1" applyBorder="1" applyProtection="1">
      <protection hidden="1"/>
    </xf>
    <xf numFmtId="1" fontId="17" fillId="0" borderId="19" xfId="6" applyNumberFormat="1" applyFont="1" applyFill="1" applyBorder="1" applyProtection="1">
      <protection hidden="1"/>
    </xf>
    <xf numFmtId="0" fontId="150" fillId="55" borderId="46" xfId="0" applyFont="1" applyFill="1" applyBorder="1" applyAlignment="1">
      <alignment horizontal="center" vertical="center"/>
    </xf>
    <xf numFmtId="0" fontId="151" fillId="54" borderId="46" xfId="0" applyFont="1" applyFill="1" applyBorder="1" applyAlignment="1">
      <alignment vertical="center"/>
    </xf>
    <xf numFmtId="0" fontId="15" fillId="45" borderId="35" xfId="6" applyFont="1" applyFill="1" applyBorder="1" applyAlignment="1" applyProtection="1">
      <alignment horizontal="center" vertical="center" wrapText="1"/>
      <protection locked="0"/>
    </xf>
    <xf numFmtId="0" fontId="15" fillId="0" borderId="51" xfId="6" applyFont="1" applyBorder="1" applyAlignment="1">
      <alignment vertical="center" wrapText="1"/>
    </xf>
    <xf numFmtId="0" fontId="83" fillId="14" borderId="0" xfId="6" applyFont="1" applyFill="1"/>
    <xf numFmtId="0" fontId="86" fillId="14" borderId="0" xfId="7" applyFont="1" applyFill="1"/>
    <xf numFmtId="0" fontId="86" fillId="14" borderId="0" xfId="7" applyFont="1" applyFill="1" applyAlignment="1"/>
    <xf numFmtId="0" fontId="86" fillId="14" borderId="0" xfId="7" applyFont="1" applyFill="1" applyAlignment="1" applyProtection="1">
      <alignment horizontal="center"/>
      <protection hidden="1"/>
    </xf>
    <xf numFmtId="0" fontId="30" fillId="0" borderId="0" xfId="7" applyFont="1" applyFill="1" applyBorder="1" applyAlignment="1">
      <alignment vertical="top" wrapText="1"/>
    </xf>
    <xf numFmtId="0" fontId="30" fillId="0" borderId="0" xfId="7" applyFont="1" applyFill="1" applyBorder="1" applyAlignment="1">
      <alignment horizontal="center" vertical="top" wrapText="1"/>
    </xf>
    <xf numFmtId="0" fontId="32" fillId="0" borderId="0" xfId="7" applyFont="1" applyFill="1" applyBorder="1" applyAlignment="1">
      <alignment horizontal="center" vertical="top" wrapText="1"/>
    </xf>
    <xf numFmtId="0" fontId="3" fillId="0" borderId="0" xfId="7" applyFont="1" applyFill="1" applyBorder="1" applyAlignment="1">
      <alignment vertical="top" wrapText="1"/>
    </xf>
    <xf numFmtId="0" fontId="36" fillId="0" borderId="0" xfId="7" applyFont="1" applyFill="1" applyBorder="1" applyAlignment="1">
      <alignment horizontal="center" vertical="top" wrapText="1"/>
    </xf>
    <xf numFmtId="167" fontId="27" fillId="0" borderId="0" xfId="6" applyNumberFormat="1" applyFont="1" applyFill="1"/>
    <xf numFmtId="0" fontId="66" fillId="0" borderId="0" xfId="7" applyFont="1" applyFill="1" applyBorder="1"/>
    <xf numFmtId="0" fontId="66" fillId="0" borderId="0" xfId="7" applyFont="1" applyFill="1" applyBorder="1" applyAlignment="1">
      <alignment vertical="center"/>
    </xf>
    <xf numFmtId="1" fontId="27" fillId="0" borderId="0" xfId="6" applyNumberFormat="1" applyFont="1" applyFill="1"/>
    <xf numFmtId="0" fontId="27" fillId="0" borderId="0" xfId="8" applyFont="1" applyFill="1" applyBorder="1"/>
    <xf numFmtId="0" fontId="92" fillId="0" borderId="47" xfId="0" applyFont="1" applyFill="1" applyBorder="1" applyAlignment="1">
      <alignment horizontal="center" vertical="center" wrapText="1"/>
    </xf>
    <xf numFmtId="0" fontId="92" fillId="0" borderId="48" xfId="0" applyFont="1" applyFill="1" applyBorder="1" applyAlignment="1">
      <alignment horizontal="center" vertical="center" wrapText="1"/>
    </xf>
    <xf numFmtId="0" fontId="10"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4" fontId="138" fillId="51" borderId="52" xfId="0" applyNumberFormat="1" applyFont="1" applyFill="1" applyBorder="1" applyAlignment="1">
      <alignment horizontal="center" vertical="center" wrapText="1"/>
    </xf>
    <xf numFmtId="4" fontId="138" fillId="51" borderId="0" xfId="0" applyNumberFormat="1" applyFont="1" applyFill="1" applyAlignment="1">
      <alignment horizontal="center" vertical="center" wrapText="1"/>
    </xf>
    <xf numFmtId="0" fontId="20" fillId="3" borderId="1" xfId="7" applyFont="1" applyFill="1" applyBorder="1" applyAlignment="1">
      <alignment horizontal="center" wrapText="1"/>
    </xf>
    <xf numFmtId="0" fontId="20" fillId="3" borderId="2" xfId="7" applyFont="1" applyFill="1" applyBorder="1" applyAlignment="1">
      <alignment horizontal="center" wrapText="1"/>
    </xf>
    <xf numFmtId="0" fontId="13" fillId="0" borderId="0" xfId="6" applyFont="1" applyBorder="1" applyAlignment="1">
      <alignment horizontal="center" wrapText="1"/>
    </xf>
    <xf numFmtId="0" fontId="14" fillId="3" borderId="0" xfId="7" applyFont="1" applyFill="1" applyAlignment="1">
      <alignment horizontal="center" vertical="center" wrapText="1"/>
    </xf>
    <xf numFmtId="0" fontId="15" fillId="14" borderId="51" xfId="6" applyFont="1" applyFill="1" applyBorder="1" applyAlignment="1" applyProtection="1">
      <alignment horizontal="center" vertical="center" wrapText="1"/>
      <protection locked="0"/>
    </xf>
    <xf numFmtId="0" fontId="15" fillId="14" borderId="57" xfId="6" applyFont="1" applyFill="1" applyBorder="1" applyAlignment="1" applyProtection="1">
      <alignment horizontal="center" vertical="center" wrapText="1"/>
      <protection locked="0"/>
    </xf>
    <xf numFmtId="0" fontId="15" fillId="45" borderId="57" xfId="6" applyFont="1" applyFill="1" applyBorder="1" applyAlignment="1" applyProtection="1">
      <alignment horizontal="center" vertical="center" wrapText="1"/>
      <protection locked="0"/>
    </xf>
    <xf numFmtId="0" fontId="15" fillId="37" borderId="46" xfId="6" applyFont="1" applyFill="1" applyBorder="1" applyAlignment="1" applyProtection="1">
      <alignment horizontal="center" vertical="center" wrapText="1"/>
      <protection locked="0"/>
    </xf>
    <xf numFmtId="0" fontId="20" fillId="3" borderId="53" xfId="7" applyFont="1" applyFill="1" applyBorder="1" applyAlignment="1">
      <alignment horizontal="center" wrapText="1"/>
    </xf>
    <xf numFmtId="0" fontId="20" fillId="3" borderId="17" xfId="7" applyFont="1" applyFill="1" applyBorder="1" applyAlignment="1">
      <alignment horizontal="center" wrapText="1"/>
    </xf>
    <xf numFmtId="0" fontId="20" fillId="3" borderId="10" xfId="7" applyFont="1" applyFill="1" applyBorder="1" applyAlignment="1">
      <alignment wrapText="1"/>
    </xf>
    <xf numFmtId="0" fontId="15" fillId="5" borderId="31" xfId="6" applyFont="1" applyFill="1" applyBorder="1" applyAlignment="1" applyProtection="1">
      <alignment horizontal="center"/>
      <protection hidden="1"/>
    </xf>
    <xf numFmtId="0" fontId="15" fillId="6" borderId="2" xfId="6" applyFont="1" applyFill="1" applyBorder="1" applyAlignment="1" applyProtection="1">
      <alignment horizontal="center"/>
      <protection hidden="1"/>
    </xf>
    <xf numFmtId="14" fontId="23" fillId="0" borderId="0" xfId="6" applyNumberFormat="1" applyFont="1" applyBorder="1" applyAlignment="1">
      <alignment horizontal="center" vertical="center"/>
    </xf>
    <xf numFmtId="0" fontId="62" fillId="0" borderId="0" xfId="6" applyFont="1" applyBorder="1" applyAlignment="1" applyProtection="1">
      <alignment horizontal="center" wrapText="1"/>
      <protection hidden="1"/>
    </xf>
    <xf numFmtId="0" fontId="150" fillId="55" borderId="51" xfId="0" applyFont="1" applyFill="1" applyBorder="1" applyAlignment="1">
      <alignment horizontal="center" vertical="center"/>
    </xf>
    <xf numFmtId="0" fontId="150" fillId="55" borderId="57" xfId="0" applyFont="1" applyFill="1" applyBorder="1" applyAlignment="1">
      <alignment horizontal="center" vertical="center"/>
    </xf>
    <xf numFmtId="0" fontId="150" fillId="55" borderId="56" xfId="0" applyFont="1" applyFill="1" applyBorder="1" applyAlignment="1">
      <alignment horizontal="center" vertical="center"/>
    </xf>
    <xf numFmtId="0" fontId="151" fillId="54" borderId="46" xfId="0" applyFont="1" applyFill="1" applyBorder="1" applyAlignment="1">
      <alignment horizontal="center" vertical="center"/>
    </xf>
    <xf numFmtId="0" fontId="30" fillId="0" borderId="0" xfId="7" applyFont="1" applyFill="1" applyBorder="1" applyAlignment="1">
      <alignment vertical="top" wrapText="1"/>
    </xf>
    <xf numFmtId="0" fontId="30" fillId="0" borderId="0" xfId="7" applyFont="1" applyFill="1" applyBorder="1" applyAlignment="1">
      <alignment horizontal="center" vertical="top" wrapText="1"/>
    </xf>
    <xf numFmtId="0" fontId="32" fillId="0" borderId="0" xfId="7" applyFont="1" applyFill="1" applyBorder="1" applyAlignment="1">
      <alignment horizontal="center" vertical="top" wrapText="1"/>
    </xf>
    <xf numFmtId="0" fontId="3" fillId="0" borderId="0" xfId="7" applyFont="1" applyFill="1" applyBorder="1" applyAlignment="1">
      <alignment vertical="top" wrapText="1"/>
    </xf>
    <xf numFmtId="0" fontId="31" fillId="0" borderId="0" xfId="7" applyFont="1" applyFill="1" applyBorder="1" applyAlignment="1">
      <alignment horizontal="center" vertical="center" wrapText="1"/>
    </xf>
    <xf numFmtId="0" fontId="86" fillId="14" borderId="0" xfId="7" applyFont="1" applyFill="1" applyAlignment="1">
      <alignment horizontal="center"/>
    </xf>
    <xf numFmtId="0" fontId="83" fillId="0" borderId="0" xfId="6" applyFont="1" applyFill="1" applyAlignment="1">
      <alignment horizontal="center"/>
    </xf>
    <xf numFmtId="0" fontId="86" fillId="14" borderId="0" xfId="7" applyFont="1" applyFill="1"/>
    <xf numFmtId="0" fontId="84" fillId="0" borderId="0" xfId="6" applyFont="1" applyFill="1" applyBorder="1" applyAlignment="1">
      <alignment horizontal="center"/>
    </xf>
    <xf numFmtId="0" fontId="85" fillId="0" borderId="0" xfId="6" applyFont="1" applyFill="1" applyBorder="1" applyAlignment="1">
      <alignment horizontal="center"/>
    </xf>
    <xf numFmtId="0" fontId="84" fillId="0" borderId="0" xfId="7" applyFont="1" applyFill="1" applyBorder="1" applyAlignment="1" applyProtection="1">
      <alignment horizontal="center"/>
      <protection hidden="1"/>
    </xf>
    <xf numFmtId="0" fontId="30" fillId="8" borderId="0" xfId="9" applyFont="1" applyFill="1" applyBorder="1" applyAlignment="1">
      <alignment horizontal="center" vertical="top" wrapText="1"/>
    </xf>
    <xf numFmtId="0" fontId="32" fillId="8" borderId="0" xfId="9" applyFont="1" applyFill="1" applyBorder="1" applyAlignment="1">
      <alignment horizontal="center" vertical="top" wrapText="1"/>
    </xf>
    <xf numFmtId="0" fontId="3" fillId="8" borderId="0" xfId="9" applyFont="1" applyFill="1" applyBorder="1" applyAlignment="1">
      <alignment vertical="top" wrapText="1"/>
    </xf>
    <xf numFmtId="0" fontId="30" fillId="8" borderId="0" xfId="9" applyFont="1" applyFill="1" applyBorder="1" applyAlignment="1">
      <alignment vertical="top" wrapText="1"/>
    </xf>
    <xf numFmtId="0" fontId="28" fillId="8" borderId="0" xfId="9" applyFont="1" applyFill="1" applyBorder="1" applyAlignment="1" applyProtection="1">
      <alignment horizontal="center"/>
      <protection hidden="1"/>
    </xf>
    <xf numFmtId="0" fontId="27" fillId="45" borderId="0" xfId="6" applyFont="1" applyFill="1" applyBorder="1"/>
    <xf numFmtId="0" fontId="31" fillId="8" borderId="0" xfId="9" applyFont="1" applyFill="1" applyBorder="1" applyAlignment="1">
      <alignment horizontal="center" vertical="center" wrapText="1"/>
    </xf>
    <xf numFmtId="0" fontId="15" fillId="7" borderId="19" xfId="6" applyFont="1" applyFill="1" applyBorder="1" applyAlignment="1" applyProtection="1">
      <alignment horizontal="center" vertical="center" wrapText="1"/>
      <protection hidden="1"/>
    </xf>
    <xf numFmtId="1" fontId="15" fillId="7" borderId="34" xfId="6" applyNumberFormat="1" applyFont="1" applyFill="1" applyBorder="1" applyAlignment="1" applyProtection="1">
      <alignment horizontal="center" vertical="center" wrapText="1"/>
      <protection hidden="1"/>
    </xf>
    <xf numFmtId="0" fontId="28" fillId="8" borderId="0" xfId="6" applyFont="1" applyFill="1" applyBorder="1" applyAlignment="1">
      <alignment horizontal="center"/>
    </xf>
    <xf numFmtId="0" fontId="27" fillId="8" borderId="0" xfId="6" applyFont="1" applyFill="1" applyBorder="1" applyAlignment="1">
      <alignment horizontal="center"/>
    </xf>
    <xf numFmtId="0" fontId="29" fillId="8" borderId="0" xfId="6" applyFont="1" applyFill="1" applyBorder="1" applyAlignment="1">
      <alignment horizontal="center"/>
    </xf>
    <xf numFmtId="0" fontId="146" fillId="3" borderId="10" xfId="7" applyFont="1" applyFill="1" applyBorder="1" applyAlignment="1">
      <alignment wrapText="1"/>
    </xf>
    <xf numFmtId="0" fontId="79" fillId="0" borderId="0" xfId="7" applyFont="1" applyBorder="1" applyAlignment="1">
      <alignment horizontal="center"/>
    </xf>
    <xf numFmtId="0" fontId="80" fillId="5" borderId="8" xfId="6" applyFont="1" applyFill="1" applyBorder="1" applyAlignment="1" applyProtection="1">
      <alignment horizontal="center"/>
      <protection hidden="1"/>
    </xf>
    <xf numFmtId="0" fontId="80" fillId="11" borderId="17" xfId="6" applyFont="1" applyFill="1" applyBorder="1" applyAlignment="1" applyProtection="1">
      <alignment horizontal="center"/>
      <protection hidden="1"/>
    </xf>
    <xf numFmtId="0" fontId="146" fillId="3" borderId="6" xfId="7" applyFont="1" applyFill="1" applyBorder="1" applyAlignment="1">
      <alignment wrapText="1"/>
    </xf>
    <xf numFmtId="0" fontId="15" fillId="0" borderId="35" xfId="6" applyFont="1" applyBorder="1" applyAlignment="1">
      <alignment horizontal="center" vertical="top" wrapText="1"/>
    </xf>
    <xf numFmtId="0" fontId="14" fillId="3" borderId="0" xfId="9" applyFont="1" applyFill="1" applyAlignment="1">
      <alignment horizontal="center" vertical="center" wrapText="1"/>
    </xf>
    <xf numFmtId="0" fontId="147" fillId="3" borderId="10" xfId="9" applyFont="1" applyFill="1" applyBorder="1" applyAlignment="1">
      <alignment wrapText="1"/>
    </xf>
    <xf numFmtId="0" fontId="15" fillId="0" borderId="35" xfId="6" applyFont="1" applyBorder="1" applyAlignment="1">
      <alignment horizontal="center" wrapText="1"/>
    </xf>
    <xf numFmtId="0" fontId="80" fillId="38" borderId="33" xfId="6" applyFont="1" applyFill="1" applyBorder="1" applyAlignment="1" applyProtection="1">
      <alignment horizontal="center"/>
      <protection hidden="1"/>
    </xf>
    <xf numFmtId="0" fontId="80" fillId="11" borderId="2" xfId="6" applyFont="1" applyFill="1" applyBorder="1" applyAlignment="1" applyProtection="1">
      <alignment horizontal="center"/>
      <protection hidden="1"/>
    </xf>
    <xf numFmtId="0" fontId="147" fillId="3" borderId="6" xfId="9" applyFont="1" applyFill="1" applyBorder="1" applyAlignment="1">
      <alignment wrapText="1"/>
    </xf>
    <xf numFmtId="0" fontId="107" fillId="35" borderId="0" xfId="6" applyFont="1" applyFill="1" applyBorder="1"/>
    <xf numFmtId="0" fontId="107" fillId="0" borderId="0" xfId="6" applyFont="1" applyFill="1" applyAlignment="1">
      <alignment horizontal="center"/>
    </xf>
    <xf numFmtId="0" fontId="145" fillId="3" borderId="10" xfId="7" applyFont="1" applyFill="1" applyBorder="1" applyAlignment="1">
      <alignment wrapText="1"/>
    </xf>
    <xf numFmtId="0" fontId="28" fillId="8" borderId="0" xfId="7" applyFont="1" applyFill="1" applyBorder="1" applyAlignment="1" applyProtection="1">
      <alignment horizontal="center"/>
      <protection hidden="1"/>
    </xf>
    <xf numFmtId="0" fontId="15" fillId="0" borderId="6" xfId="6" applyFont="1" applyFill="1" applyBorder="1" applyAlignment="1">
      <alignment horizontal="center"/>
    </xf>
    <xf numFmtId="0" fontId="145" fillId="3" borderId="6" xfId="7" applyFont="1" applyFill="1" applyBorder="1" applyAlignment="1">
      <alignment wrapText="1"/>
    </xf>
    <xf numFmtId="0" fontId="15" fillId="0" borderId="0" xfId="6" applyFont="1" applyBorder="1" applyAlignment="1">
      <alignment horizontal="center" wrapText="1"/>
    </xf>
    <xf numFmtId="0" fontId="30" fillId="8" borderId="0" xfId="10" applyFont="1" applyFill="1" applyBorder="1" applyAlignment="1" applyProtection="1">
      <alignment vertical="top" wrapText="1"/>
      <protection hidden="1"/>
    </xf>
    <xf numFmtId="0" fontId="31" fillId="0" borderId="0" xfId="10" applyFont="1" applyFill="1" applyBorder="1" applyAlignment="1" applyProtection="1">
      <alignment horizontal="center" vertical="center" wrapText="1"/>
      <protection hidden="1"/>
    </xf>
    <xf numFmtId="0" fontId="30" fillId="8" borderId="0" xfId="10" applyFont="1" applyFill="1" applyBorder="1" applyAlignment="1" applyProtection="1">
      <alignment horizontal="center" vertical="top" wrapText="1"/>
      <protection hidden="1"/>
    </xf>
    <xf numFmtId="0" fontId="32" fillId="8" borderId="0" xfId="10" applyFont="1" applyFill="1" applyBorder="1" applyAlignment="1" applyProtection="1">
      <alignment horizontal="center" vertical="top" wrapText="1"/>
      <protection hidden="1"/>
    </xf>
    <xf numFmtId="0" fontId="3" fillId="8" borderId="0" xfId="10" applyFont="1" applyFill="1" applyBorder="1" applyAlignment="1" applyProtection="1">
      <alignment vertical="top" wrapText="1"/>
      <protection hidden="1"/>
    </xf>
    <xf numFmtId="0" fontId="42" fillId="0" borderId="0" xfId="10" applyFont="1" applyFill="1" applyBorder="1" applyAlignment="1" applyProtection="1">
      <alignment horizontal="center" vertical="top" wrapText="1"/>
      <protection hidden="1"/>
    </xf>
    <xf numFmtId="0" fontId="42" fillId="0" borderId="0" xfId="10" applyFont="1" applyFill="1" applyBorder="1" applyAlignment="1" applyProtection="1">
      <alignment vertical="center" wrapText="1"/>
      <protection hidden="1"/>
    </xf>
    <xf numFmtId="0" fontId="42" fillId="0" borderId="0" xfId="10" applyFont="1" applyFill="1" applyBorder="1" applyAlignment="1" applyProtection="1">
      <alignment horizontal="left" vertical="top" wrapText="1"/>
      <protection hidden="1"/>
    </xf>
    <xf numFmtId="0" fontId="41" fillId="0" borderId="0" xfId="10" applyFont="1" applyFill="1" applyBorder="1" applyAlignment="1" applyProtection="1">
      <alignment horizontal="left"/>
      <protection hidden="1"/>
    </xf>
    <xf numFmtId="0" fontId="42" fillId="0" borderId="0" xfId="10" applyFont="1" applyFill="1" applyBorder="1" applyAlignment="1" applyProtection="1">
      <alignment horizontal="center" vertical="center" wrapText="1"/>
      <protection hidden="1"/>
    </xf>
    <xf numFmtId="0" fontId="85" fillId="52" borderId="0" xfId="6" applyFont="1" applyFill="1" applyBorder="1" applyAlignment="1" applyProtection="1">
      <alignment horizontal="center"/>
      <protection hidden="1"/>
    </xf>
    <xf numFmtId="0" fontId="83" fillId="52" borderId="0" xfId="6" applyFont="1" applyFill="1" applyProtection="1">
      <protection hidden="1"/>
    </xf>
    <xf numFmtId="0" fontId="84" fillId="52" borderId="0" xfId="6" applyFont="1" applyFill="1" applyBorder="1" applyAlignment="1" applyProtection="1">
      <alignment horizontal="center"/>
      <protection hidden="1"/>
    </xf>
    <xf numFmtId="0" fontId="41" fillId="0" borderId="0" xfId="10" applyFont="1" applyFill="1" applyBorder="1" applyAlignment="1" applyProtection="1">
      <alignment horizontal="center" vertical="center"/>
      <protection hidden="1"/>
    </xf>
    <xf numFmtId="0" fontId="83" fillId="52" borderId="0" xfId="6" applyFont="1" applyFill="1" applyAlignment="1" applyProtection="1">
      <alignment horizontal="center"/>
      <protection hidden="1"/>
    </xf>
    <xf numFmtId="0" fontId="145" fillId="15" borderId="46" xfId="10" applyFont="1" applyFill="1" applyBorder="1" applyAlignment="1">
      <alignment wrapText="1"/>
    </xf>
    <xf numFmtId="0" fontId="15" fillId="18" borderId="46" xfId="6" applyFont="1" applyFill="1" applyBorder="1" applyAlignment="1" applyProtection="1">
      <alignment horizontal="center"/>
    </xf>
    <xf numFmtId="0" fontId="15" fillId="9" borderId="46" xfId="6" applyFont="1" applyFill="1" applyBorder="1" applyAlignment="1" applyProtection="1">
      <alignment horizontal="center"/>
    </xf>
    <xf numFmtId="0" fontId="100" fillId="0" borderId="0" xfId="6" applyFont="1" applyFill="1" applyBorder="1" applyAlignment="1" applyProtection="1">
      <alignment horizontal="center" wrapText="1"/>
    </xf>
    <xf numFmtId="0" fontId="101" fillId="0" borderId="46" xfId="6" applyFont="1" applyFill="1" applyBorder="1" applyAlignment="1" applyProtection="1">
      <alignment horizontal="center" wrapText="1"/>
    </xf>
    <xf numFmtId="1" fontId="97" fillId="0" borderId="0" xfId="6" applyNumberFormat="1" applyFont="1" applyFill="1" applyBorder="1" applyAlignment="1" applyProtection="1">
      <alignment horizontal="center"/>
    </xf>
    <xf numFmtId="0" fontId="97" fillId="0" borderId="0" xfId="6" applyFont="1" applyFill="1" applyBorder="1" applyAlignment="1" applyProtection="1">
      <alignment horizontal="center"/>
    </xf>
    <xf numFmtId="0" fontId="106" fillId="0" borderId="0" xfId="6" applyFont="1" applyFill="1" applyBorder="1" applyAlignment="1" applyProtection="1">
      <alignment horizontal="center" vertical="center" wrapText="1"/>
    </xf>
    <xf numFmtId="0" fontId="85" fillId="52" borderId="0" xfId="6" applyFont="1" applyFill="1" applyBorder="1" applyAlignment="1">
      <alignment horizontal="center"/>
    </xf>
    <xf numFmtId="0" fontId="37" fillId="0" borderId="0" xfId="6" applyFont="1" applyBorder="1" applyAlignment="1" applyProtection="1">
      <alignment horizontal="center" wrapText="1"/>
      <protection locked="0"/>
    </xf>
    <xf numFmtId="0" fontId="95" fillId="15" borderId="0" xfId="10" applyFont="1" applyFill="1" applyBorder="1" applyAlignment="1">
      <alignment horizontal="center" vertical="center" wrapText="1"/>
    </xf>
    <xf numFmtId="0" fontId="15" fillId="0" borderId="55" xfId="6" applyFont="1" applyBorder="1" applyAlignment="1" applyProtection="1">
      <alignment horizontal="center" vertical="center" wrapText="1"/>
      <protection locked="0"/>
    </xf>
    <xf numFmtId="0" fontId="15" fillId="45" borderId="55" xfId="6" applyFont="1" applyFill="1" applyBorder="1" applyAlignment="1" applyProtection="1">
      <alignment horizontal="center" vertical="center" wrapText="1"/>
      <protection locked="0"/>
    </xf>
    <xf numFmtId="0" fontId="15" fillId="0" borderId="0" xfId="6" applyFont="1" applyBorder="1" applyAlignment="1" applyProtection="1">
      <alignment horizontal="center" wrapText="1"/>
      <protection locked="0"/>
    </xf>
    <xf numFmtId="0" fontId="87" fillId="0" borderId="0" xfId="10" applyFont="1" applyFill="1" applyBorder="1" applyAlignment="1">
      <alignment horizontal="center" vertical="top" wrapText="1"/>
    </xf>
    <xf numFmtId="0" fontId="87" fillId="0" borderId="0" xfId="10" applyFont="1" applyFill="1" applyBorder="1" applyAlignment="1">
      <alignment vertical="top" wrapText="1"/>
    </xf>
    <xf numFmtId="0" fontId="101" fillId="0" borderId="0" xfId="6" applyFont="1" applyFill="1" applyBorder="1" applyAlignment="1" applyProtection="1">
      <alignment horizontal="center" wrapText="1"/>
      <protection hidden="1"/>
    </xf>
    <xf numFmtId="0" fontId="28" fillId="36" borderId="0" xfId="6" applyFont="1" applyFill="1" applyBorder="1" applyAlignment="1">
      <alignment horizontal="center"/>
    </xf>
    <xf numFmtId="0" fontId="100" fillId="0" borderId="0" xfId="6" applyFont="1" applyFill="1" applyBorder="1" applyAlignment="1" applyProtection="1">
      <alignment horizontal="center" wrapText="1"/>
      <protection hidden="1"/>
    </xf>
    <xf numFmtId="0" fontId="43" fillId="0" borderId="0" xfId="6" applyFont="1" applyBorder="1" applyAlignment="1">
      <alignment horizontal="center" vertical="center"/>
    </xf>
    <xf numFmtId="0" fontId="14" fillId="15" borderId="0" xfId="10" applyFont="1" applyFill="1" applyBorder="1" applyAlignment="1">
      <alignment horizontal="center" vertical="center" wrapText="1"/>
    </xf>
    <xf numFmtId="0" fontId="145" fillId="15" borderId="6" xfId="10" applyFont="1" applyFill="1" applyBorder="1" applyAlignment="1">
      <alignment wrapText="1"/>
    </xf>
    <xf numFmtId="0" fontId="145" fillId="15" borderId="10" xfId="10" applyFont="1" applyFill="1" applyBorder="1" applyAlignment="1">
      <alignment wrapText="1"/>
    </xf>
    <xf numFmtId="0" fontId="145" fillId="15" borderId="24" xfId="10" applyFont="1" applyFill="1" applyBorder="1" applyAlignment="1">
      <alignment wrapText="1"/>
    </xf>
    <xf numFmtId="0" fontId="20" fillId="8" borderId="0" xfId="10" applyFont="1" applyFill="1" applyBorder="1" applyAlignment="1">
      <alignment wrapText="1"/>
    </xf>
    <xf numFmtId="0" fontId="58" fillId="18" borderId="46" xfId="6" applyFont="1" applyFill="1" applyBorder="1" applyAlignment="1" applyProtection="1">
      <alignment horizontal="center" vertical="center"/>
      <protection hidden="1"/>
    </xf>
    <xf numFmtId="166" fontId="58" fillId="27" borderId="46" xfId="6" applyNumberFormat="1" applyFont="1" applyFill="1" applyBorder="1" applyAlignment="1" applyProtection="1">
      <alignment horizontal="center" vertical="center"/>
      <protection hidden="1"/>
    </xf>
    <xf numFmtId="0" fontId="58" fillId="28" borderId="18" xfId="6" applyFont="1" applyFill="1" applyBorder="1" applyAlignment="1" applyProtection="1">
      <alignment horizontal="center" vertical="center"/>
      <protection hidden="1"/>
    </xf>
    <xf numFmtId="1" fontId="58" fillId="28" borderId="8" xfId="6" applyNumberFormat="1" applyFont="1" applyFill="1" applyBorder="1" applyAlignment="1" applyProtection="1">
      <alignment horizontal="center" vertical="center"/>
      <protection hidden="1"/>
    </xf>
    <xf numFmtId="0" fontId="97" fillId="0" borderId="0" xfId="6" applyFont="1" applyBorder="1" applyAlignment="1" applyProtection="1">
      <alignment horizontal="center"/>
      <protection hidden="1"/>
    </xf>
    <xf numFmtId="0" fontId="111" fillId="0" borderId="0" xfId="10" applyFont="1" applyFill="1" applyBorder="1" applyAlignment="1" applyProtection="1">
      <alignment horizontal="center" vertical="center" wrapText="1"/>
      <protection hidden="1"/>
    </xf>
    <xf numFmtId="0" fontId="30" fillId="8" borderId="0" xfId="10" applyFont="1" applyFill="1" applyBorder="1" applyAlignment="1">
      <alignment horizontal="center" vertical="top" wrapText="1"/>
    </xf>
    <xf numFmtId="0" fontId="30" fillId="8" borderId="0" xfId="10" applyFont="1" applyFill="1" applyBorder="1" applyAlignment="1">
      <alignment vertical="top" wrapText="1"/>
    </xf>
    <xf numFmtId="0" fontId="30" fillId="36" borderId="0" xfId="10" applyFont="1" applyFill="1" applyBorder="1" applyAlignment="1">
      <alignment horizontal="center" vertical="top" wrapText="1"/>
    </xf>
    <xf numFmtId="0" fontId="30" fillId="36" borderId="0" xfId="10" applyFont="1" applyFill="1" applyBorder="1" applyAlignment="1">
      <alignment vertical="top" wrapText="1"/>
    </xf>
    <xf numFmtId="0" fontId="145" fillId="15" borderId="10" xfId="10" applyFont="1" applyFill="1" applyBorder="1" applyAlignment="1" applyProtection="1">
      <alignment wrapText="1"/>
      <protection hidden="1"/>
    </xf>
    <xf numFmtId="0" fontId="97" fillId="0" borderId="0" xfId="6" applyFont="1" applyFill="1" applyBorder="1" applyAlignment="1" applyProtection="1">
      <alignment horizontal="center"/>
      <protection hidden="1"/>
    </xf>
    <xf numFmtId="0" fontId="15" fillId="28" borderId="18" xfId="6" applyFont="1" applyFill="1" applyBorder="1" applyAlignment="1" applyProtection="1">
      <alignment horizontal="center" vertical="center"/>
      <protection hidden="1"/>
    </xf>
    <xf numFmtId="1" fontId="15" fillId="28" borderId="8" xfId="6" applyNumberFormat="1" applyFont="1" applyFill="1" applyBorder="1" applyAlignment="1" applyProtection="1">
      <alignment horizontal="center" vertical="center"/>
      <protection hidden="1"/>
    </xf>
    <xf numFmtId="0" fontId="63" fillId="0" borderId="0" xfId="6" applyFont="1" applyBorder="1" applyAlignment="1" applyProtection="1">
      <alignment horizontal="center" vertical="center"/>
      <protection locked="0"/>
    </xf>
    <xf numFmtId="0" fontId="15" fillId="18" borderId="27" xfId="6" applyFont="1" applyFill="1" applyBorder="1" applyAlignment="1" applyProtection="1">
      <alignment horizontal="center" vertical="center"/>
      <protection hidden="1"/>
    </xf>
    <xf numFmtId="166" fontId="15" fillId="27" borderId="46" xfId="6" applyNumberFormat="1" applyFont="1" applyFill="1" applyBorder="1" applyAlignment="1" applyProtection="1">
      <alignment horizontal="center" vertical="center"/>
      <protection hidden="1"/>
    </xf>
    <xf numFmtId="0" fontId="95" fillId="0" borderId="0" xfId="10" applyFont="1" applyBorder="1" applyAlignment="1" applyProtection="1">
      <alignment horizontal="center" vertical="center"/>
      <protection locked="0"/>
    </xf>
    <xf numFmtId="0" fontId="145" fillId="15" borderId="6" xfId="10" applyFont="1" applyFill="1" applyBorder="1" applyAlignment="1" applyProtection="1">
      <alignment wrapText="1"/>
      <protection hidden="1"/>
    </xf>
    <xf numFmtId="1" fontId="27" fillId="0" borderId="0" xfId="6" applyNumberFormat="1" applyFont="1" applyFill="1" applyBorder="1" applyAlignment="1">
      <alignment horizontal="center" vertical="center"/>
    </xf>
    <xf numFmtId="0" fontId="27" fillId="0" borderId="0" xfId="6" applyFont="1" applyFill="1" applyBorder="1" applyAlignment="1">
      <alignment horizontal="center" vertical="center"/>
    </xf>
    <xf numFmtId="0" fontId="27" fillId="0" borderId="0" xfId="8" applyFont="1" applyFill="1" applyBorder="1" applyAlignment="1">
      <alignment horizontal="center" vertical="center"/>
    </xf>
    <xf numFmtId="0" fontId="28" fillId="0" borderId="0" xfId="6" applyFont="1" applyFill="1" applyBorder="1" applyAlignment="1">
      <alignment horizontal="center"/>
    </xf>
    <xf numFmtId="0" fontId="3" fillId="0" borderId="0" xfId="7" applyFont="1" applyFill="1" applyBorder="1" applyAlignment="1">
      <alignment horizontal="center" vertical="center"/>
    </xf>
    <xf numFmtId="0" fontId="53" fillId="8" borderId="0" xfId="7" applyFont="1" applyFill="1" applyBorder="1" applyAlignment="1">
      <alignment vertical="top" wrapText="1"/>
    </xf>
    <xf numFmtId="0" fontId="53" fillId="8" borderId="0" xfId="7" applyFont="1" applyFill="1" applyBorder="1" applyAlignment="1">
      <alignment horizontal="center" vertical="top" wrapText="1"/>
    </xf>
    <xf numFmtId="0" fontId="30" fillId="8" borderId="0" xfId="7" applyFont="1" applyFill="1" applyBorder="1" applyAlignment="1">
      <alignment vertical="top" wrapText="1"/>
    </xf>
    <xf numFmtId="0" fontId="43" fillId="0" borderId="0" xfId="6" applyFont="1" applyBorder="1" applyAlignment="1" applyProtection="1">
      <alignment horizontal="center" vertical="center"/>
      <protection locked="0"/>
    </xf>
    <xf numFmtId="0" fontId="64" fillId="15" borderId="0" xfId="7" applyFont="1" applyFill="1" applyAlignment="1">
      <alignment horizontal="center" vertical="center" wrapText="1"/>
    </xf>
    <xf numFmtId="0" fontId="145" fillId="15" borderId="6" xfId="7" applyFont="1" applyFill="1" applyBorder="1" applyAlignment="1">
      <alignment wrapText="1"/>
    </xf>
    <xf numFmtId="0" fontId="145" fillId="15" borderId="10" xfId="7" applyFont="1" applyFill="1" applyBorder="1" applyAlignment="1">
      <alignment wrapText="1"/>
    </xf>
    <xf numFmtId="0" fontId="15" fillId="31" borderId="36" xfId="6" applyFont="1" applyFill="1" applyBorder="1" applyAlignment="1" applyProtection="1">
      <alignment horizontal="center" vertical="center"/>
      <protection hidden="1"/>
    </xf>
    <xf numFmtId="166" fontId="15" fillId="27" borderId="38" xfId="6" applyNumberFormat="1" applyFont="1" applyFill="1" applyBorder="1" applyAlignment="1" applyProtection="1">
      <alignment horizontal="center" vertical="center"/>
      <protection hidden="1"/>
    </xf>
    <xf numFmtId="0" fontId="26" fillId="50" borderId="0" xfId="6" applyFont="1" applyFill="1" applyAlignment="1">
      <alignment horizontal="center" wrapText="1"/>
    </xf>
    <xf numFmtId="0" fontId="27" fillId="39" borderId="0" xfId="6" applyFont="1" applyFill="1" applyAlignment="1">
      <alignment horizontal="center"/>
    </xf>
    <xf numFmtId="0" fontId="36" fillId="39" borderId="0" xfId="7" applyFont="1" applyFill="1" applyBorder="1" applyAlignment="1">
      <alignment horizontal="center" vertical="center" wrapText="1"/>
    </xf>
    <xf numFmtId="0" fontId="30" fillId="39" borderId="0" xfId="7" applyFont="1" applyFill="1" applyBorder="1" applyAlignment="1">
      <alignment horizontal="center" vertical="top" wrapText="1"/>
    </xf>
    <xf numFmtId="0" fontId="75" fillId="0" borderId="0" xfId="6" applyFont="1" applyBorder="1" applyAlignment="1" applyProtection="1">
      <alignment horizontal="center" vertical="center"/>
      <protection locked="0"/>
    </xf>
    <xf numFmtId="0" fontId="67" fillId="3" borderId="0" xfId="7" applyFont="1" applyFill="1" applyAlignment="1">
      <alignment horizontal="center" vertical="center" wrapText="1"/>
    </xf>
    <xf numFmtId="0" fontId="15" fillId="5" borderId="8" xfId="6" applyFont="1" applyFill="1" applyBorder="1" applyAlignment="1">
      <alignment horizontal="center" vertical="center"/>
    </xf>
    <xf numFmtId="0" fontId="15" fillId="5" borderId="19" xfId="6" applyFont="1" applyFill="1" applyBorder="1" applyAlignment="1">
      <alignment horizontal="center" vertical="center"/>
    </xf>
    <xf numFmtId="14" fontId="15" fillId="10" borderId="46" xfId="6" applyNumberFormat="1" applyFont="1" applyFill="1" applyBorder="1" applyAlignment="1">
      <alignment horizontal="center" vertical="center"/>
    </xf>
    <xf numFmtId="0" fontId="15" fillId="6" borderId="18" xfId="6" applyFont="1" applyFill="1" applyBorder="1" applyAlignment="1">
      <alignment horizontal="center"/>
    </xf>
    <xf numFmtId="1" fontId="15" fillId="6" borderId="8" xfId="6" applyNumberFormat="1" applyFont="1" applyFill="1" applyBorder="1" applyAlignment="1">
      <alignment horizontal="center"/>
    </xf>
    <xf numFmtId="0" fontId="30" fillId="39" borderId="0" xfId="7" applyFont="1" applyFill="1" applyBorder="1" applyAlignment="1">
      <alignment vertical="top" wrapText="1"/>
    </xf>
    <xf numFmtId="0" fontId="28" fillId="39" borderId="0" xfId="6" applyFont="1" applyFill="1" applyBorder="1" applyAlignment="1">
      <alignment horizontal="center"/>
    </xf>
    <xf numFmtId="0" fontId="15" fillId="5" borderId="36" xfId="6" applyFont="1" applyFill="1" applyBorder="1" applyAlignment="1" applyProtection="1">
      <alignment horizontal="center" vertical="center"/>
      <protection hidden="1"/>
    </xf>
    <xf numFmtId="14" fontId="15" fillId="10" borderId="15" xfId="6" applyNumberFormat="1" applyFont="1" applyFill="1" applyBorder="1" applyAlignment="1" applyProtection="1">
      <alignment horizontal="center" vertical="center"/>
      <protection hidden="1"/>
    </xf>
    <xf numFmtId="0" fontId="18" fillId="0" borderId="0" xfId="6" applyFont="1" applyBorder="1" applyAlignment="1">
      <alignment horizontal="center"/>
    </xf>
    <xf numFmtId="0" fontId="70" fillId="0" borderId="0" xfId="6" applyFont="1" applyBorder="1" applyAlignment="1" applyProtection="1">
      <alignment horizontal="center" vertical="center"/>
      <protection locked="0"/>
    </xf>
    <xf numFmtId="0" fontId="125" fillId="0" borderId="46" xfId="7" applyFont="1" applyBorder="1" applyAlignment="1" applyProtection="1">
      <alignment horizontal="left" wrapText="1"/>
      <protection hidden="1"/>
    </xf>
    <xf numFmtId="0" fontId="110" fillId="0" borderId="46" xfId="7" applyFont="1" applyBorder="1" applyAlignment="1" applyProtection="1">
      <alignment horizontal="center" wrapText="1"/>
      <protection hidden="1"/>
    </xf>
    <xf numFmtId="0" fontId="110" fillId="0" borderId="46" xfId="7" applyFont="1" applyBorder="1" applyAlignment="1">
      <alignment horizontal="center"/>
    </xf>
    <xf numFmtId="0" fontId="36" fillId="0" borderId="0" xfId="7" applyFont="1" applyFill="1" applyBorder="1" applyAlignment="1">
      <alignment horizontal="center" vertical="top" wrapText="1"/>
    </xf>
    <xf numFmtId="0" fontId="36" fillId="8" borderId="0" xfId="7" applyFont="1" applyFill="1" applyBorder="1" applyAlignment="1">
      <alignment horizontal="left" vertical="top" wrapText="1"/>
    </xf>
    <xf numFmtId="0" fontId="32" fillId="8" borderId="0" xfId="7" applyFont="1" applyFill="1" applyBorder="1" applyAlignment="1">
      <alignment horizontal="center" vertical="top" wrapText="1"/>
    </xf>
    <xf numFmtId="0" fontId="36" fillId="8" borderId="0" xfId="7" applyFont="1" applyFill="1" applyBorder="1" applyAlignment="1">
      <alignment horizontal="left"/>
    </xf>
    <xf numFmtId="0" fontId="32" fillId="8" borderId="0" xfId="7" applyFont="1" applyFill="1" applyBorder="1" applyAlignment="1">
      <alignment horizontal="left" vertical="center" wrapText="1"/>
    </xf>
    <xf numFmtId="0" fontId="36" fillId="8" borderId="0" xfId="7" applyFont="1" applyFill="1" applyBorder="1" applyAlignment="1">
      <alignment horizontal="center" vertical="top" wrapText="1"/>
    </xf>
    <xf numFmtId="0" fontId="145" fillId="3" borderId="1" xfId="7" applyFont="1" applyFill="1" applyBorder="1" applyAlignment="1">
      <alignment horizontal="center" wrapText="1"/>
    </xf>
    <xf numFmtId="0" fontId="145" fillId="3" borderId="0" xfId="7" applyFont="1" applyFill="1" applyBorder="1" applyAlignment="1">
      <alignment horizontal="center" wrapText="1"/>
    </xf>
    <xf numFmtId="0" fontId="75" fillId="0" borderId="0" xfId="1" applyFont="1" applyBorder="1" applyAlignment="1">
      <alignment horizontal="center" vertical="center"/>
    </xf>
    <xf numFmtId="0" fontId="67" fillId="3" borderId="0" xfId="7" applyFont="1" applyFill="1" applyBorder="1" applyAlignment="1">
      <alignment horizontal="center" vertical="center" wrapText="1"/>
    </xf>
    <xf numFmtId="0" fontId="90" fillId="0" borderId="0" xfId="1" applyFont="1" applyBorder="1" applyAlignment="1">
      <alignment horizontal="left" wrapText="1"/>
    </xf>
    <xf numFmtId="0" fontId="90" fillId="0" borderId="0" xfId="1" applyFont="1" applyBorder="1" applyAlignment="1">
      <alignment horizontal="center"/>
    </xf>
    <xf numFmtId="0" fontId="89" fillId="0" borderId="0" xfId="1" applyFont="1" applyBorder="1" applyAlignment="1">
      <alignment horizontal="center"/>
    </xf>
    <xf numFmtId="0" fontId="92" fillId="16" borderId="46" xfId="0" applyFont="1" applyFill="1" applyBorder="1"/>
    <xf numFmtId="0" fontId="92" fillId="16" borderId="46" xfId="0" applyFont="1" applyFill="1" applyBorder="1" applyAlignment="1">
      <alignment horizontal="center"/>
    </xf>
    <xf numFmtId="1" fontId="92" fillId="16" borderId="46" xfId="0" applyNumberFormat="1" applyFont="1" applyFill="1" applyBorder="1" applyAlignment="1">
      <alignment horizontal="center"/>
    </xf>
    <xf numFmtId="0" fontId="94" fillId="16" borderId="46" xfId="0" applyFont="1" applyFill="1" applyBorder="1" applyAlignment="1">
      <alignment horizontal="center"/>
    </xf>
    <xf numFmtId="0" fontId="20" fillId="15" borderId="2" xfId="7" applyFont="1" applyFill="1" applyBorder="1" applyAlignment="1">
      <alignment wrapText="1"/>
    </xf>
    <xf numFmtId="0" fontId="20" fillId="15" borderId="10" xfId="7" applyFont="1" applyFill="1" applyBorder="1" applyAlignment="1">
      <alignment wrapText="1"/>
    </xf>
    <xf numFmtId="0" fontId="93" fillId="16" borderId="46" xfId="0" applyFont="1" applyFill="1" applyBorder="1" applyAlignment="1">
      <alignment horizontal="center"/>
    </xf>
    <xf numFmtId="0" fontId="92" fillId="16" borderId="46" xfId="0" applyFont="1" applyFill="1" applyBorder="1" applyAlignment="1">
      <alignment horizontal="center" wrapText="1"/>
    </xf>
    <xf numFmtId="0" fontId="92" fillId="16" borderId="46" xfId="0" applyFont="1" applyFill="1" applyBorder="1" applyAlignment="1">
      <alignment wrapText="1"/>
    </xf>
    <xf numFmtId="0" fontId="20" fillId="15" borderId="17" xfId="7" applyFont="1" applyFill="1" applyBorder="1" applyAlignment="1">
      <alignment wrapText="1"/>
    </xf>
    <xf numFmtId="0" fontId="20" fillId="15" borderId="6" xfId="7" applyFont="1" applyFill="1" applyBorder="1" applyAlignment="1">
      <alignment wrapText="1"/>
    </xf>
  </cellXfs>
  <cellStyles count="11">
    <cellStyle name="Excel Built-in Normal" xfId="7"/>
    <cellStyle name="Excel Built-in Normal 1" xfId="8"/>
    <cellStyle name="Excel Built-in Normal 2" xfId="6"/>
    <cellStyle name="Excel Built-in Normal 3" xfId="9"/>
    <cellStyle name="Excel Built-in Normal 4" xfId="10"/>
    <cellStyle name="Normal" xfId="0" builtinId="0"/>
    <cellStyle name="Normal 2" xfId="1"/>
    <cellStyle name="Normal 3" xfId="2"/>
    <cellStyle name="Normal 4" xfId="3"/>
    <cellStyle name="Normal 5" xfId="4"/>
    <cellStyle name="Normal 6" xfId="5"/>
  </cellStyles>
  <dxfs count="1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80"/>
      <rgbColor rgb="00666666"/>
      <rgbColor rgb="00800080"/>
      <rgbColor rgb="00008080"/>
      <rgbColor rgb="00BBBBB9"/>
      <rgbColor rgb="00808080"/>
      <rgbColor rgb="009999FF"/>
      <rgbColor rgb="00FF3333"/>
      <rgbColor rgb="00F2F2F2"/>
      <rgbColor rgb="00EEEEEE"/>
      <rgbColor rgb="00660066"/>
      <rgbColor rgb="00FF8080"/>
      <rgbColor rgb="000066CC"/>
      <rgbColor rgb="00B9CDE5"/>
      <rgbColor rgb="00000080"/>
      <rgbColor rgb="00FF00FF"/>
      <rgbColor rgb="00FFFF00"/>
      <rgbColor rgb="0000FFFF"/>
      <rgbColor rgb="00800080"/>
      <rgbColor rgb="00800000"/>
      <rgbColor rgb="00008080"/>
      <rgbColor rgb="000000FF"/>
      <rgbColor rgb="0000CCFF"/>
      <rgbColor rgb="00C3D69B"/>
      <rgbColor rgb="00D7E4BD"/>
      <rgbColor rgb="00F2DCDB"/>
      <rgbColor rgb="0099CC99"/>
      <rgbColor rgb="00FF99CC"/>
      <rgbColor rgb="00B3A2C7"/>
      <rgbColor rgb="00FFCC99"/>
      <rgbColor rgb="003366FF"/>
      <rgbColor rgb="0033CCCC"/>
      <rgbColor rgb="0099CC00"/>
      <rgbColor rgb="00FFCC00"/>
      <rgbColor rgb="00FF9900"/>
      <rgbColor rgb="00FF6600"/>
      <rgbColor rgb="008064A2"/>
      <rgbColor rgb="006699CC"/>
      <rgbColor rgb="00003366"/>
      <rgbColor rgb="00339966"/>
      <rgbColor rgb="00003300"/>
      <rgbColor rgb="00333300"/>
      <rgbColor rgb="00993300"/>
      <rgbColor rgb="00993366"/>
      <rgbColor rgb="00333399"/>
      <rgbColor rgb="00333333"/>
    </indexedColors>
    <mruColors>
      <color rgb="FFA8C36B"/>
      <color rgb="FF9DBC58"/>
      <color rgb="FFAAC56D"/>
      <color rgb="FF8CC6AC"/>
      <color rgb="FF79C5AC"/>
      <color rgb="FFA7D9C8"/>
      <color rgb="FF99C997"/>
      <color rgb="FFBECA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hyperlink" Target="#'GCV Package and Nil Dep'!A1"/><Relationship Id="rId18" Type="http://schemas.openxmlformats.org/officeDocument/2006/relationships/hyperlink" Target="#'TW LT &amp; Bund Enh'!A1"/><Relationship Id="rId3" Type="http://schemas.openxmlformats.org/officeDocument/2006/relationships/hyperlink" Target="#MISC!A1"/><Relationship Id="rId7" Type="http://schemas.openxmlformats.org/officeDocument/2006/relationships/hyperlink" Target="#'PCV &lt;6 Nil Dep'!A1"/><Relationship Id="rId12" Type="http://schemas.openxmlformats.org/officeDocument/2006/relationships/hyperlink" Target="#'Tractor &amp; Trailer'!A1"/><Relationship Id="rId17" Type="http://schemas.openxmlformats.org/officeDocument/2006/relationships/hyperlink" Target="#'TW LT Enh_3Yrs'!A1"/><Relationship Id="rId2" Type="http://schemas.openxmlformats.org/officeDocument/2006/relationships/image" Target="../media/image1.jpeg"/><Relationship Id="rId16" Type="http://schemas.openxmlformats.org/officeDocument/2006/relationships/image" Target="../media/image7.jpeg"/><Relationship Id="rId1" Type="http://schemas.openxmlformats.org/officeDocument/2006/relationships/hyperlink" Target="#'TW Enhancement'!A1"/><Relationship Id="rId6" Type="http://schemas.openxmlformats.org/officeDocument/2006/relationships/hyperlink" Target="#'3 wheeled Pass carrying &lt;6'!A1"/><Relationship Id="rId11" Type="http://schemas.openxmlformats.org/officeDocument/2006/relationships/image" Target="../media/image5.png"/><Relationship Id="rId5" Type="http://schemas.openxmlformats.org/officeDocument/2006/relationships/image" Target="../media/image3.png"/><Relationship Id="rId15" Type="http://schemas.openxmlformats.org/officeDocument/2006/relationships/hyperlink" Target="#'New PC Enh &amp; Bundled'!A1"/><Relationship Id="rId10" Type="http://schemas.openxmlformats.org/officeDocument/2006/relationships/hyperlink" Target="#TRANSFER!A1"/><Relationship Id="rId4" Type="http://schemas.openxmlformats.org/officeDocument/2006/relationships/image" Target="../media/image2.jpeg"/><Relationship Id="rId9" Type="http://schemas.openxmlformats.org/officeDocument/2006/relationships/hyperlink" Target="#'PCV &gt;6 Nil Dep'!A1"/><Relationship Id="rId14" Type="http://schemas.openxmlformats.org/officeDocument/2006/relationships/image" Target="../media/image6.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Motor Home Page'!A1"/></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Motor Home Page'!A1"/></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Motor Home Page'!A1"/></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Motor Home Page'!A1"/></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Motor Home Page'!A1"/></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Motor Home Page'!A1"/></Relationships>
</file>

<file path=xl/drawings/_rels/drawing3.xml.rels><?xml version="1.0" encoding="UTF-8" standalone="yes"?>
<Relationships xmlns="http://schemas.openxmlformats.org/package/2006/relationships"><Relationship Id="rId2" Type="http://schemas.openxmlformats.org/officeDocument/2006/relationships/hyperlink" Target="#'Motor Home Page'!A1"/><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hyperlink" Target="#'Motor Home Page'!A1"/><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hyperlink" Target="#'Motor Home Page'!A1"/><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Motor Home Page'!A1"/></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Motor Home Page'!A1"/></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Motor Home Page'!A1"/></Relationships>
</file>

<file path=xl/drawings/_rels/drawing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Motor Home Page'!A1"/></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104775</xdr:rowOff>
    </xdr:from>
    <xdr:to>
      <xdr:col>3</xdr:col>
      <xdr:colOff>552450</xdr:colOff>
      <xdr:row>5</xdr:row>
      <xdr:rowOff>0</xdr:rowOff>
    </xdr:to>
    <xdr:sp macro="" textlink="" fLocksText="0">
      <xdr:nvSpPr>
        <xdr:cNvPr id="1026" name="Motor Home Page">
          <a:hlinkClick xmlns:r="http://schemas.openxmlformats.org/officeDocument/2006/relationships" r:id="rId1"/>
        </xdr:cNvPr>
        <xdr:cNvSpPr txBox="1">
          <a:spLocks noChangeArrowheads="1"/>
        </xdr:cNvSpPr>
      </xdr:nvSpPr>
      <xdr:spPr bwMode="auto">
        <a:xfrm>
          <a:off x="38100" y="838200"/>
          <a:ext cx="3048000" cy="733425"/>
        </a:xfrm>
        <a:prstGeom prst="rect">
          <a:avLst/>
        </a:prstGeom>
        <a:blipFill dpi="0" rotWithShape="0">
          <a:blip xmlns:r="http://schemas.openxmlformats.org/officeDocument/2006/relationships" r:embed="rId2"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ctr" upright="1"/>
        <a:lstStyle/>
        <a:p>
          <a:pPr algn="ctr" rtl="0">
            <a:defRPr sz="1000"/>
          </a:pPr>
          <a:r>
            <a:rPr lang="en-US" sz="1800" b="1" i="1" strike="noStrike">
              <a:solidFill>
                <a:schemeClr val="accent6">
                  <a:lumMod val="75000"/>
                </a:schemeClr>
              </a:solidFill>
              <a:latin typeface="Bookman Old Style" pitchFamily="18" charset="0"/>
              <a:cs typeface="MV Boli"/>
            </a:rPr>
            <a:t>Two Wheeler   Package &amp; Enhancement</a:t>
          </a:r>
        </a:p>
      </xdr:txBody>
    </xdr:sp>
    <xdr:clientData/>
  </xdr:twoCellAnchor>
  <xdr:twoCellAnchor>
    <xdr:from>
      <xdr:col>7</xdr:col>
      <xdr:colOff>666750</xdr:colOff>
      <xdr:row>1</xdr:row>
      <xdr:rowOff>171450</xdr:rowOff>
    </xdr:from>
    <xdr:to>
      <xdr:col>11</xdr:col>
      <xdr:colOff>95249</xdr:colOff>
      <xdr:row>4</xdr:row>
      <xdr:rowOff>57150</xdr:rowOff>
    </xdr:to>
    <xdr:sp macro="" textlink="" fLocksText="0">
      <xdr:nvSpPr>
        <xdr:cNvPr id="1035" name="Motor Home Page">
          <a:hlinkClick xmlns:r="http://schemas.openxmlformats.org/officeDocument/2006/relationships" r:id="rId3"/>
        </xdr:cNvPr>
        <xdr:cNvSpPr txBox="1">
          <a:spLocks noChangeArrowheads="1"/>
        </xdr:cNvSpPr>
      </xdr:nvSpPr>
      <xdr:spPr bwMode="auto">
        <a:xfrm>
          <a:off x="5934075" y="904875"/>
          <a:ext cx="1943099" cy="514350"/>
        </a:xfrm>
        <a:prstGeom prst="rect">
          <a:avLst/>
        </a:prstGeom>
        <a:blipFill dpi="0" rotWithShape="0">
          <a:blip xmlns:r="http://schemas.openxmlformats.org/officeDocument/2006/relationships" r:embed="rId4"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2000" b="1" i="0" strike="noStrike">
              <a:solidFill>
                <a:srgbClr val="000000"/>
              </a:solidFill>
              <a:latin typeface="MV Boli"/>
              <a:cs typeface="MV Boli"/>
            </a:rPr>
            <a:t>Miscellaneous</a:t>
          </a:r>
        </a:p>
      </xdr:txBody>
    </xdr:sp>
    <xdr:clientData/>
  </xdr:twoCellAnchor>
  <xdr:twoCellAnchor>
    <xdr:from>
      <xdr:col>0</xdr:col>
      <xdr:colOff>0</xdr:colOff>
      <xdr:row>0</xdr:row>
      <xdr:rowOff>0</xdr:rowOff>
    </xdr:from>
    <xdr:to>
      <xdr:col>11</xdr:col>
      <xdr:colOff>9525</xdr:colOff>
      <xdr:row>1</xdr:row>
      <xdr:rowOff>28575</xdr:rowOff>
    </xdr:to>
    <xdr:sp macro="" textlink="" fLocksText="0">
      <xdr:nvSpPr>
        <xdr:cNvPr id="1040" name="Text 50"/>
        <xdr:cNvSpPr txBox="1">
          <a:spLocks noChangeArrowheads="1"/>
        </xdr:cNvSpPr>
      </xdr:nvSpPr>
      <xdr:spPr bwMode="auto">
        <a:xfrm>
          <a:off x="0" y="0"/>
          <a:ext cx="7791450" cy="762000"/>
        </a:xfrm>
        <a:prstGeom prst="rect">
          <a:avLst/>
        </a:prstGeom>
        <a:blipFill dpi="0" rotWithShape="0">
          <a:blip xmlns:r="http://schemas.openxmlformats.org/officeDocument/2006/relationships" r:embed="rId5" cstate="print"/>
          <a:srcRect/>
          <a:tile tx="0" ty="0" sx="100000" sy="100000" flip="none" algn="tl"/>
        </a:blipFill>
        <a:ln w="46800" cap="sq">
          <a:solidFill>
            <a:srgbClr val="CC99FF"/>
          </a:solidFill>
          <a:prstDash val="sysDashDotDot"/>
          <a:miter lim="800000"/>
          <a:headEnd/>
          <a:tailEnd/>
        </a:ln>
        <a:effectLst>
          <a:outerShdw dist="17819" dir="2700000" algn="ctr" rotWithShape="0">
            <a:srgbClr val="000000"/>
          </a:outerShdw>
        </a:effectLst>
      </xdr:spPr>
      <xdr:txBody>
        <a:bodyPr vertOverflow="clip" wrap="square" lIns="38880" tIns="38880" rIns="38880" bIns="38880" anchor="t" upright="1"/>
        <a:lstStyle/>
        <a:p>
          <a:pPr algn="ctr" rtl="0">
            <a:defRPr sz="1000"/>
          </a:pPr>
          <a:r>
            <a:rPr lang="en-US" sz="5500" b="1" i="1" strike="noStrike">
              <a:solidFill>
                <a:srgbClr val="000000"/>
              </a:solidFill>
              <a:latin typeface="Arabic Typesetting"/>
              <a:cs typeface="Arabic Typesetting"/>
            </a:rPr>
            <a:t>Motor Home Page</a:t>
          </a:r>
        </a:p>
      </xdr:txBody>
    </xdr:sp>
    <xdr:clientData/>
  </xdr:twoCellAnchor>
  <xdr:twoCellAnchor>
    <xdr:from>
      <xdr:col>3</xdr:col>
      <xdr:colOff>657225</xdr:colOff>
      <xdr:row>7</xdr:row>
      <xdr:rowOff>1447800</xdr:rowOff>
    </xdr:from>
    <xdr:to>
      <xdr:col>8</xdr:col>
      <xdr:colOff>28575</xdr:colOff>
      <xdr:row>12</xdr:row>
      <xdr:rowOff>180976</xdr:rowOff>
    </xdr:to>
    <xdr:sp macro="" textlink="" fLocksText="0">
      <xdr:nvSpPr>
        <xdr:cNvPr id="1042" name="Motor Home Page">
          <a:hlinkClick xmlns:r="http://schemas.openxmlformats.org/officeDocument/2006/relationships" r:id="rId6"/>
        </xdr:cNvPr>
        <xdr:cNvSpPr txBox="1">
          <a:spLocks noChangeArrowheads="1"/>
        </xdr:cNvSpPr>
      </xdr:nvSpPr>
      <xdr:spPr bwMode="auto">
        <a:xfrm>
          <a:off x="3190875" y="3533775"/>
          <a:ext cx="2876550" cy="1285876"/>
        </a:xfrm>
        <a:prstGeom prst="rect">
          <a:avLst/>
        </a:prstGeom>
        <a:solidFill>
          <a:schemeClr val="tx2">
            <a:lumMod val="75000"/>
          </a:schemeClr>
        </a:solid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500" b="1" i="0" strike="noStrike">
              <a:solidFill>
                <a:schemeClr val="bg1"/>
              </a:solidFill>
              <a:latin typeface="MV Boli"/>
              <a:cs typeface="MV Boli"/>
            </a:rPr>
            <a:t>3 Wheeled PCV &lt;6 ,6 to 17, &gt;17, E Cart</a:t>
          </a:r>
          <a:r>
            <a:rPr lang="en-US" sz="1500" b="1" i="0" strike="noStrike" baseline="0">
              <a:solidFill>
                <a:schemeClr val="bg1"/>
              </a:solidFill>
              <a:latin typeface="MV Boli"/>
              <a:cs typeface="MV Boli"/>
            </a:rPr>
            <a:t> &amp; E Rickshaw,   3 Wheeled GCV Public, Private, Ecart GCV Public Private</a:t>
          </a:r>
          <a:endParaRPr lang="en-US" sz="1500" b="1" i="0" strike="noStrike">
            <a:solidFill>
              <a:schemeClr val="bg1"/>
            </a:solidFill>
            <a:latin typeface="MV Boli"/>
            <a:cs typeface="MV Boli"/>
          </a:endParaRPr>
        </a:p>
      </xdr:txBody>
    </xdr:sp>
    <xdr:clientData/>
  </xdr:twoCellAnchor>
  <xdr:twoCellAnchor>
    <xdr:from>
      <xdr:col>0</xdr:col>
      <xdr:colOff>152401</xdr:colOff>
      <xdr:row>11</xdr:row>
      <xdr:rowOff>161926</xdr:rowOff>
    </xdr:from>
    <xdr:to>
      <xdr:col>3</xdr:col>
      <xdr:colOff>428625</xdr:colOff>
      <xdr:row>14</xdr:row>
      <xdr:rowOff>9525</xdr:rowOff>
    </xdr:to>
    <xdr:sp macro="" textlink="" fLocksText="0">
      <xdr:nvSpPr>
        <xdr:cNvPr id="1046" name="Motor Home Page">
          <a:hlinkClick xmlns:r="http://schemas.openxmlformats.org/officeDocument/2006/relationships" r:id="rId7"/>
        </xdr:cNvPr>
        <xdr:cNvSpPr txBox="1">
          <a:spLocks noChangeArrowheads="1"/>
        </xdr:cNvSpPr>
      </xdr:nvSpPr>
      <xdr:spPr bwMode="auto">
        <a:xfrm>
          <a:off x="152401" y="4543426"/>
          <a:ext cx="2809874" cy="619124"/>
        </a:xfrm>
        <a:prstGeom prst="rect">
          <a:avLst/>
        </a:prstGeom>
        <a:blipFill dpi="0" rotWithShape="0">
          <a:blip xmlns:r="http://schemas.openxmlformats.org/officeDocument/2006/relationships" r:embed="rId8"/>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Passenger Carrying Vehicle Zero Dep &lt;6</a:t>
          </a:r>
        </a:p>
      </xdr:txBody>
    </xdr:sp>
    <xdr:clientData/>
  </xdr:twoCellAnchor>
  <xdr:twoCellAnchor>
    <xdr:from>
      <xdr:col>0</xdr:col>
      <xdr:colOff>180975</xdr:colOff>
      <xdr:row>14</xdr:row>
      <xdr:rowOff>142874</xdr:rowOff>
    </xdr:from>
    <xdr:to>
      <xdr:col>3</xdr:col>
      <xdr:colOff>476250</xdr:colOff>
      <xdr:row>17</xdr:row>
      <xdr:rowOff>38100</xdr:rowOff>
    </xdr:to>
    <xdr:sp macro="" textlink="" fLocksText="0">
      <xdr:nvSpPr>
        <xdr:cNvPr id="1047" name="Motor Home Page">
          <a:hlinkClick xmlns:r="http://schemas.openxmlformats.org/officeDocument/2006/relationships" r:id="rId9"/>
        </xdr:cNvPr>
        <xdr:cNvSpPr txBox="1">
          <a:spLocks noChangeArrowheads="1"/>
        </xdr:cNvSpPr>
      </xdr:nvSpPr>
      <xdr:spPr bwMode="auto">
        <a:xfrm>
          <a:off x="180975" y="5295899"/>
          <a:ext cx="2828925" cy="666751"/>
        </a:xfrm>
        <a:prstGeom prst="rect">
          <a:avLst/>
        </a:prstGeom>
        <a:blipFill dpi="0" rotWithShape="0">
          <a:blip xmlns:r="http://schemas.openxmlformats.org/officeDocument/2006/relationships" r:embed="rId8"/>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Passenger Carrying Vehicle Zero Dep &gt;6</a:t>
          </a:r>
        </a:p>
      </xdr:txBody>
    </xdr:sp>
    <xdr:clientData/>
  </xdr:twoCellAnchor>
  <xdr:twoCellAnchor>
    <xdr:from>
      <xdr:col>8</xdr:col>
      <xdr:colOff>247650</xdr:colOff>
      <xdr:row>12</xdr:row>
      <xdr:rowOff>161925</xdr:rowOff>
    </xdr:from>
    <xdr:to>
      <xdr:col>11</xdr:col>
      <xdr:colOff>542926</xdr:colOff>
      <xdr:row>15</xdr:row>
      <xdr:rowOff>9524</xdr:rowOff>
    </xdr:to>
    <xdr:sp macro="" textlink="" fLocksText="0">
      <xdr:nvSpPr>
        <xdr:cNvPr id="34" name="Motor Home Page">
          <a:hlinkClick xmlns:r="http://schemas.openxmlformats.org/officeDocument/2006/relationships" r:id="rId10"/>
        </xdr:cNvPr>
        <xdr:cNvSpPr txBox="1">
          <a:spLocks noChangeArrowheads="1"/>
        </xdr:cNvSpPr>
      </xdr:nvSpPr>
      <xdr:spPr bwMode="auto">
        <a:xfrm>
          <a:off x="6286500" y="4800600"/>
          <a:ext cx="2038351" cy="619124"/>
        </a:xfrm>
        <a:prstGeom prst="rect">
          <a:avLst/>
        </a:prstGeom>
        <a:blipFill dpi="0" rotWithShape="0">
          <a:blip xmlns:r="http://schemas.openxmlformats.org/officeDocument/2006/relationships" r:embed="rId11"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300" b="1" i="0" strike="noStrike">
              <a:solidFill>
                <a:srgbClr val="000000"/>
              </a:solidFill>
              <a:latin typeface="MV Boli"/>
              <a:cs typeface="MV Boli"/>
            </a:rPr>
            <a:t>NCB Recovery &amp;Transfer of Ownership</a:t>
          </a:r>
        </a:p>
      </xdr:txBody>
    </xdr:sp>
    <xdr:clientData/>
  </xdr:twoCellAnchor>
  <xdr:twoCellAnchor>
    <xdr:from>
      <xdr:col>8</xdr:col>
      <xdr:colOff>333375</xdr:colOff>
      <xdr:row>9</xdr:row>
      <xdr:rowOff>133350</xdr:rowOff>
    </xdr:from>
    <xdr:to>
      <xdr:col>11</xdr:col>
      <xdr:colOff>504825</xdr:colOff>
      <xdr:row>11</xdr:row>
      <xdr:rowOff>66674</xdr:rowOff>
    </xdr:to>
    <xdr:sp macro="" textlink="" fLocksText="0">
      <xdr:nvSpPr>
        <xdr:cNvPr id="38" name="Motor Home Page">
          <a:hlinkClick xmlns:r="http://schemas.openxmlformats.org/officeDocument/2006/relationships" r:id="rId12"/>
        </xdr:cNvPr>
        <xdr:cNvSpPr txBox="1">
          <a:spLocks noChangeArrowheads="1"/>
        </xdr:cNvSpPr>
      </xdr:nvSpPr>
      <xdr:spPr bwMode="auto">
        <a:xfrm>
          <a:off x="6372225" y="4000500"/>
          <a:ext cx="1914525" cy="447674"/>
        </a:xfrm>
        <a:prstGeom prst="rect">
          <a:avLst/>
        </a:prstGeom>
        <a:blipFill dpi="0" rotWithShape="0">
          <a:blip xmlns:r="http://schemas.openxmlformats.org/officeDocument/2006/relationships" r:embed="rId4"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600" b="1" i="0" strike="noStrike">
              <a:solidFill>
                <a:srgbClr val="000000"/>
              </a:solidFill>
              <a:latin typeface="MV Boli"/>
              <a:cs typeface="MV Boli"/>
            </a:rPr>
            <a:t>Tractor &amp; Trailer</a:t>
          </a:r>
        </a:p>
      </xdr:txBody>
    </xdr:sp>
    <xdr:clientData/>
  </xdr:twoCellAnchor>
  <xdr:twoCellAnchor>
    <xdr:from>
      <xdr:col>7</xdr:col>
      <xdr:colOff>285749</xdr:colOff>
      <xdr:row>4</xdr:row>
      <xdr:rowOff>104775</xdr:rowOff>
    </xdr:from>
    <xdr:to>
      <xdr:col>12</xdr:col>
      <xdr:colOff>314325</xdr:colOff>
      <xdr:row>7</xdr:row>
      <xdr:rowOff>1285875</xdr:rowOff>
    </xdr:to>
    <xdr:sp macro="" textlink="" fLocksText="0">
      <xdr:nvSpPr>
        <xdr:cNvPr id="40" name="Motor Home Page">
          <a:hlinkClick xmlns:r="http://schemas.openxmlformats.org/officeDocument/2006/relationships" r:id="rId13"/>
        </xdr:cNvPr>
        <xdr:cNvSpPr txBox="1">
          <a:spLocks noChangeArrowheads="1"/>
        </xdr:cNvSpPr>
      </xdr:nvSpPr>
      <xdr:spPr bwMode="auto">
        <a:xfrm>
          <a:off x="5553074" y="1466850"/>
          <a:ext cx="3314701" cy="1905000"/>
        </a:xfrm>
        <a:prstGeom prst="rect">
          <a:avLst/>
        </a:prstGeom>
        <a:blipFill dpi="0" rotWithShape="0">
          <a:blip xmlns:r="http://schemas.openxmlformats.org/officeDocument/2006/relationships" r:embed="rId14"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800" b="1" i="0" strike="noStrike">
              <a:solidFill>
                <a:schemeClr val="tx2">
                  <a:lumMod val="50000"/>
                </a:schemeClr>
              </a:solidFill>
              <a:latin typeface="MV Boli"/>
              <a:cs typeface="MV Boli"/>
            </a:rPr>
            <a:t>GCV</a:t>
          </a:r>
          <a:r>
            <a:rPr lang="en-US" sz="1800" b="1" i="0" strike="noStrike" baseline="0">
              <a:solidFill>
                <a:schemeClr val="tx2">
                  <a:lumMod val="50000"/>
                </a:schemeClr>
              </a:solidFill>
              <a:latin typeface="MV Boli"/>
              <a:cs typeface="MV Boli"/>
            </a:rPr>
            <a:t> Other than 3 Wheeled Public Carrier Enhancement                   Private Carrier Enhancement     Public Carrier Package        Private Carrier Enhancement        </a:t>
          </a:r>
          <a:endParaRPr lang="en-US" sz="1800" b="1" i="0" strike="noStrike">
            <a:solidFill>
              <a:schemeClr val="tx2">
                <a:lumMod val="50000"/>
              </a:schemeClr>
            </a:solidFill>
            <a:latin typeface="MV Boli"/>
            <a:cs typeface="MV Boli"/>
          </a:endParaRPr>
        </a:p>
      </xdr:txBody>
    </xdr:sp>
    <xdr:clientData/>
  </xdr:twoCellAnchor>
  <xdr:twoCellAnchor>
    <xdr:from>
      <xdr:col>4</xdr:col>
      <xdr:colOff>57149</xdr:colOff>
      <xdr:row>4</xdr:row>
      <xdr:rowOff>68580</xdr:rowOff>
    </xdr:from>
    <xdr:to>
      <xdr:col>7</xdr:col>
      <xdr:colOff>180974</xdr:colOff>
      <xdr:row>7</xdr:row>
      <xdr:rowOff>1209675</xdr:rowOff>
    </xdr:to>
    <xdr:sp macro="" textlink="" fLocksText="0">
      <xdr:nvSpPr>
        <xdr:cNvPr id="37" name="Motor Home Page">
          <a:hlinkClick xmlns:r="http://schemas.openxmlformats.org/officeDocument/2006/relationships" r:id="rId15"/>
        </xdr:cNvPr>
        <xdr:cNvSpPr txBox="1">
          <a:spLocks noChangeArrowheads="1"/>
        </xdr:cNvSpPr>
      </xdr:nvSpPr>
      <xdr:spPr bwMode="auto">
        <a:xfrm>
          <a:off x="3455669" y="1402080"/>
          <a:ext cx="2143125" cy="1857375"/>
        </a:xfrm>
        <a:prstGeom prst="rect">
          <a:avLst/>
        </a:prstGeom>
        <a:blipFill dpi="0" rotWithShape="0">
          <a:blip xmlns:r="http://schemas.openxmlformats.org/officeDocument/2006/relationships" r:embed="rId16"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600" b="1" i="0" strike="noStrike" baseline="0">
              <a:solidFill>
                <a:srgbClr val="000000"/>
              </a:solidFill>
              <a:latin typeface="Andalus" pitchFamily="18" charset="-78"/>
              <a:cs typeface="Andalus" pitchFamily="18" charset="-78"/>
            </a:rPr>
            <a:t>PC Package</a:t>
          </a:r>
        </a:p>
        <a:p>
          <a:pPr algn="ctr" rtl="0">
            <a:defRPr sz="1000"/>
          </a:pPr>
          <a:r>
            <a:rPr lang="en-US" sz="1600" b="1" i="0" strike="noStrike" baseline="0">
              <a:solidFill>
                <a:srgbClr val="000000"/>
              </a:solidFill>
              <a:latin typeface="Andalus" pitchFamily="18" charset="-78"/>
              <a:cs typeface="Andalus" pitchFamily="18" charset="-78"/>
            </a:rPr>
            <a:t>PC Enhancment</a:t>
          </a:r>
        </a:p>
        <a:p>
          <a:pPr algn="ctr" rtl="0">
            <a:defRPr sz="1000"/>
          </a:pPr>
          <a:r>
            <a:rPr lang="en-US" sz="1600" b="1" i="0" strike="noStrike" baseline="0">
              <a:solidFill>
                <a:srgbClr val="000000"/>
              </a:solidFill>
              <a:latin typeface="Andalus" pitchFamily="18" charset="-78"/>
              <a:cs typeface="Andalus" pitchFamily="18" charset="-78"/>
            </a:rPr>
            <a:t>PC LT Package</a:t>
          </a:r>
        </a:p>
        <a:p>
          <a:pPr algn="ctr" rtl="0">
            <a:defRPr sz="1000"/>
          </a:pPr>
          <a:r>
            <a:rPr lang="en-US" sz="1600" b="1" i="0" strike="noStrike" baseline="0">
              <a:solidFill>
                <a:srgbClr val="000000"/>
              </a:solidFill>
              <a:latin typeface="Andalus" pitchFamily="18" charset="-78"/>
              <a:cs typeface="Andalus" pitchFamily="18" charset="-78"/>
            </a:rPr>
            <a:t>PC LT Enhancement</a:t>
          </a:r>
        </a:p>
        <a:p>
          <a:pPr algn="ctr" rtl="0">
            <a:defRPr sz="1000"/>
          </a:pPr>
          <a:r>
            <a:rPr lang="en-US" sz="1600" b="1" i="0" strike="noStrike" baseline="0">
              <a:solidFill>
                <a:srgbClr val="000000"/>
              </a:solidFill>
              <a:latin typeface="Andalus" pitchFamily="18" charset="-78"/>
              <a:cs typeface="Andalus" pitchFamily="18" charset="-78"/>
            </a:rPr>
            <a:t>PC LT Bundled Package</a:t>
          </a:r>
        </a:p>
        <a:p>
          <a:pPr algn="ctr" rtl="0">
            <a:defRPr sz="1000"/>
          </a:pPr>
          <a:r>
            <a:rPr lang="en-US" sz="1600" b="1" i="0" strike="noStrike" baseline="0">
              <a:solidFill>
                <a:srgbClr val="000000"/>
              </a:solidFill>
              <a:latin typeface="Andalus" pitchFamily="18" charset="-78"/>
              <a:cs typeface="Andalus" pitchFamily="18" charset="-78"/>
            </a:rPr>
            <a:t>PC LT Bundled Enhancement</a:t>
          </a:r>
        </a:p>
      </xdr:txBody>
    </xdr:sp>
    <xdr:clientData/>
  </xdr:twoCellAnchor>
  <xdr:twoCellAnchor>
    <xdr:from>
      <xdr:col>0</xdr:col>
      <xdr:colOff>66674</xdr:colOff>
      <xdr:row>5</xdr:row>
      <xdr:rowOff>190500</xdr:rowOff>
    </xdr:from>
    <xdr:to>
      <xdr:col>3</xdr:col>
      <xdr:colOff>666749</xdr:colOff>
      <xdr:row>7</xdr:row>
      <xdr:rowOff>619125</xdr:rowOff>
    </xdr:to>
    <xdr:sp macro="" textlink="" fLocksText="0">
      <xdr:nvSpPr>
        <xdr:cNvPr id="42" name="Motor Home Page">
          <a:hlinkClick xmlns:r="http://schemas.openxmlformats.org/officeDocument/2006/relationships" r:id="rId17"/>
        </xdr:cNvPr>
        <xdr:cNvSpPr txBox="1">
          <a:spLocks noChangeArrowheads="1"/>
        </xdr:cNvSpPr>
      </xdr:nvSpPr>
      <xdr:spPr bwMode="auto">
        <a:xfrm>
          <a:off x="66674" y="1762125"/>
          <a:ext cx="3133725" cy="942975"/>
        </a:xfrm>
        <a:prstGeom prst="rect">
          <a:avLst/>
        </a:prstGeom>
        <a:blipFill dpi="0" rotWithShape="0">
          <a:blip xmlns:r="http://schemas.openxmlformats.org/officeDocument/2006/relationships" r:embed="rId2"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ctr" upright="1"/>
        <a:lstStyle/>
        <a:p>
          <a:pPr algn="ctr" rtl="0">
            <a:defRPr sz="1000"/>
          </a:pPr>
          <a:r>
            <a:rPr lang="en-US" sz="1800" b="1" i="1" strike="noStrike">
              <a:solidFill>
                <a:schemeClr val="accent6">
                  <a:lumMod val="75000"/>
                </a:schemeClr>
              </a:solidFill>
              <a:latin typeface="Bookman Old Style" pitchFamily="18" charset="0"/>
              <a:cs typeface="MV Boli"/>
            </a:rPr>
            <a:t>Two Wheeler 2 Yrs &amp;</a:t>
          </a:r>
          <a:r>
            <a:rPr lang="en-US" sz="1800" b="1" i="1" strike="noStrike" baseline="0">
              <a:solidFill>
                <a:schemeClr val="accent6">
                  <a:lumMod val="75000"/>
                </a:schemeClr>
              </a:solidFill>
              <a:latin typeface="Bookman Old Style" pitchFamily="18" charset="0"/>
              <a:cs typeface="MV Boli"/>
            </a:rPr>
            <a:t> 3 Yrs Package &amp; Enhancement</a:t>
          </a:r>
          <a:endParaRPr lang="en-US" sz="1800" b="1" i="1" strike="noStrike">
            <a:solidFill>
              <a:schemeClr val="accent6">
                <a:lumMod val="75000"/>
              </a:schemeClr>
            </a:solidFill>
            <a:latin typeface="Bookman Old Style" pitchFamily="18" charset="0"/>
            <a:cs typeface="MV Boli"/>
          </a:endParaRPr>
        </a:p>
      </xdr:txBody>
    </xdr:sp>
    <xdr:clientData/>
  </xdr:twoCellAnchor>
  <xdr:twoCellAnchor>
    <xdr:from>
      <xdr:col>0</xdr:col>
      <xdr:colOff>66675</xdr:colOff>
      <xdr:row>7</xdr:row>
      <xdr:rowOff>733424</xdr:rowOff>
    </xdr:from>
    <xdr:to>
      <xdr:col>3</xdr:col>
      <xdr:colOff>666750</xdr:colOff>
      <xdr:row>10</xdr:row>
      <xdr:rowOff>228600</xdr:rowOff>
    </xdr:to>
    <xdr:sp macro="" textlink="" fLocksText="0">
      <xdr:nvSpPr>
        <xdr:cNvPr id="45" name="Motor Home Page">
          <a:hlinkClick xmlns:r="http://schemas.openxmlformats.org/officeDocument/2006/relationships" r:id="rId18"/>
        </xdr:cNvPr>
        <xdr:cNvSpPr txBox="1">
          <a:spLocks noChangeArrowheads="1"/>
        </xdr:cNvSpPr>
      </xdr:nvSpPr>
      <xdr:spPr bwMode="auto">
        <a:xfrm>
          <a:off x="66675" y="2819399"/>
          <a:ext cx="3133725" cy="1533526"/>
        </a:xfrm>
        <a:prstGeom prst="rect">
          <a:avLst/>
        </a:prstGeom>
        <a:blipFill dpi="0" rotWithShape="0">
          <a:blip xmlns:r="http://schemas.openxmlformats.org/officeDocument/2006/relationships" r:embed="rId2"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ctr" upright="1"/>
        <a:lstStyle/>
        <a:p>
          <a:pPr algn="ctr" rtl="0">
            <a:defRPr sz="1000"/>
          </a:pPr>
          <a:r>
            <a:rPr lang="en-US" sz="1800" b="1" i="1" strike="noStrike">
              <a:solidFill>
                <a:schemeClr val="accent6">
                  <a:lumMod val="75000"/>
                </a:schemeClr>
              </a:solidFill>
              <a:latin typeface="Bookman Old Style" pitchFamily="18" charset="0"/>
              <a:cs typeface="MV Boli"/>
            </a:rPr>
            <a:t>Two Wheeler                      LT Enhancement</a:t>
          </a:r>
          <a:r>
            <a:rPr lang="en-US" sz="1800" b="1" i="1" strike="noStrike" baseline="0">
              <a:solidFill>
                <a:schemeClr val="accent6">
                  <a:lumMod val="75000"/>
                </a:schemeClr>
              </a:solidFill>
              <a:latin typeface="Bookman Old Style" pitchFamily="18" charset="0"/>
              <a:cs typeface="MV Boli"/>
            </a:rPr>
            <a:t>             LT Package                    LT Bundled Enh                  LT Bundled Package</a:t>
          </a:r>
          <a:endParaRPr lang="en-US" sz="1800" b="1" i="1" strike="noStrike">
            <a:solidFill>
              <a:schemeClr val="accent6">
                <a:lumMod val="75000"/>
              </a:schemeClr>
            </a:solidFill>
            <a:latin typeface="Bookman Old Style" pitchFamily="18" charset="0"/>
            <a:cs typeface="MV Boli"/>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28575</xdr:colOff>
      <xdr:row>0</xdr:row>
      <xdr:rowOff>381000</xdr:rowOff>
    </xdr:to>
    <xdr:sp macro="" textlink="" fLocksText="0">
      <xdr:nvSpPr>
        <xdr:cNvPr id="17410" name="Text 69"/>
        <xdr:cNvSpPr txBox="1">
          <a:spLocks noChangeArrowheads="1"/>
        </xdr:cNvSpPr>
      </xdr:nvSpPr>
      <xdr:spPr bwMode="auto">
        <a:xfrm>
          <a:off x="0" y="0"/>
          <a:ext cx="9077325" cy="381000"/>
        </a:xfrm>
        <a:prstGeom prst="rect">
          <a:avLst/>
        </a:prstGeom>
        <a:gradFill rotWithShape="0">
          <a:gsLst>
            <a:gs pos="0">
              <a:srgbClr val="DDDDDD"/>
            </a:gs>
            <a:gs pos="100000">
              <a:srgbClr val="808080"/>
            </a:gs>
          </a:gsLst>
          <a:lin ang="5400000" scaled="1"/>
        </a:gradFill>
        <a:ln w="9360" cap="sq">
          <a:solidFill>
            <a:srgbClr val="6666FF"/>
          </a:solidFill>
          <a:prstDash val="sysDot"/>
          <a:miter lim="800000"/>
          <a:headEnd/>
          <a:tailEnd/>
        </a:ln>
        <a:effectLst>
          <a:outerShdw dist="17819" dir="2700000" algn="ctr" rotWithShape="0">
            <a:srgbClr val="000000"/>
          </a:outerShdw>
        </a:effectLst>
      </xdr:spPr>
      <xdr:txBody>
        <a:bodyPr vertOverflow="clip" wrap="square" lIns="20160" tIns="20160" rIns="20160" bIns="20160" anchor="t" upright="1"/>
        <a:lstStyle/>
        <a:p>
          <a:pPr algn="ctr" rtl="0">
            <a:defRPr sz="1000"/>
          </a:pPr>
          <a:r>
            <a:rPr lang="en-US" sz="1800" b="1" i="0" strike="noStrike">
              <a:solidFill>
                <a:srgbClr val="000000"/>
              </a:solidFill>
              <a:latin typeface="MV Boli"/>
              <a:cs typeface="MV Boli"/>
            </a:rPr>
            <a:t>3 Wheeled Premium Calculator</a:t>
          </a:r>
        </a:p>
      </xdr:txBody>
    </xdr:sp>
    <xdr:clientData/>
  </xdr:twoCellAnchor>
  <xdr:twoCellAnchor>
    <xdr:from>
      <xdr:col>7</xdr:col>
      <xdr:colOff>28575</xdr:colOff>
      <xdr:row>0</xdr:row>
      <xdr:rowOff>0</xdr:rowOff>
    </xdr:from>
    <xdr:to>
      <xdr:col>9</xdr:col>
      <xdr:colOff>19050</xdr:colOff>
      <xdr:row>0</xdr:row>
      <xdr:rowOff>390525</xdr:rowOff>
    </xdr:to>
    <xdr:sp macro="" textlink="" fLocksText="0">
      <xdr:nvSpPr>
        <xdr:cNvPr id="17411" name="Motor Home Page">
          <a:hlinkClick xmlns:r="http://schemas.openxmlformats.org/officeDocument/2006/relationships" r:id="rId1"/>
        </xdr:cNvPr>
        <xdr:cNvSpPr txBox="1">
          <a:spLocks noChangeArrowheads="1"/>
        </xdr:cNvSpPr>
      </xdr:nvSpPr>
      <xdr:spPr bwMode="auto">
        <a:xfrm>
          <a:off x="9410700" y="0"/>
          <a:ext cx="1952625" cy="390525"/>
        </a:xfrm>
        <a:prstGeom prst="rect">
          <a:avLst/>
        </a:prstGeom>
        <a:blipFill dpi="0" rotWithShape="0">
          <a:blip xmlns:r="http://schemas.openxmlformats.org/officeDocument/2006/relationships" r:embed="rId2"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Motor home Page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9525</xdr:colOff>
      <xdr:row>0</xdr:row>
      <xdr:rowOff>0</xdr:rowOff>
    </xdr:from>
    <xdr:to>
      <xdr:col>9</xdr:col>
      <xdr:colOff>9525</xdr:colOff>
      <xdr:row>0</xdr:row>
      <xdr:rowOff>352425</xdr:rowOff>
    </xdr:to>
    <xdr:sp macro="" textlink="" fLocksText="0">
      <xdr:nvSpPr>
        <xdr:cNvPr id="15361" name="Motor Home Page">
          <a:hlinkClick xmlns:r="http://schemas.openxmlformats.org/officeDocument/2006/relationships" r:id="rId1"/>
        </xdr:cNvPr>
        <xdr:cNvSpPr txBox="1">
          <a:spLocks noChangeArrowheads="1"/>
        </xdr:cNvSpPr>
      </xdr:nvSpPr>
      <xdr:spPr bwMode="auto">
        <a:xfrm>
          <a:off x="9544050" y="0"/>
          <a:ext cx="1857375" cy="352425"/>
        </a:xfrm>
        <a:prstGeom prst="rect">
          <a:avLst/>
        </a:prstGeom>
        <a:blipFill dpi="0" rotWithShape="0">
          <a:blip xmlns:r="http://schemas.openxmlformats.org/officeDocument/2006/relationships" r:embed="rId2"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Motor home Page</a:t>
          </a:r>
        </a:p>
      </xdr:txBody>
    </xdr:sp>
    <xdr:clientData/>
  </xdr:twoCellAnchor>
  <xdr:twoCellAnchor>
    <xdr:from>
      <xdr:col>0</xdr:col>
      <xdr:colOff>0</xdr:colOff>
      <xdr:row>0</xdr:row>
      <xdr:rowOff>0</xdr:rowOff>
    </xdr:from>
    <xdr:to>
      <xdr:col>6</xdr:col>
      <xdr:colOff>9525</xdr:colOff>
      <xdr:row>0</xdr:row>
      <xdr:rowOff>361950</xdr:rowOff>
    </xdr:to>
    <xdr:sp macro="" textlink="" fLocksText="0">
      <xdr:nvSpPr>
        <xdr:cNvPr id="15362" name="Text 69"/>
        <xdr:cNvSpPr txBox="1">
          <a:spLocks noChangeArrowheads="1"/>
        </xdr:cNvSpPr>
      </xdr:nvSpPr>
      <xdr:spPr bwMode="auto">
        <a:xfrm>
          <a:off x="0" y="0"/>
          <a:ext cx="9258300" cy="361950"/>
        </a:xfrm>
        <a:prstGeom prst="rect">
          <a:avLst/>
        </a:prstGeom>
        <a:gradFill rotWithShape="0">
          <a:gsLst>
            <a:gs pos="0">
              <a:srgbClr val="DDDDDD"/>
            </a:gs>
            <a:gs pos="100000">
              <a:srgbClr val="808080"/>
            </a:gs>
          </a:gsLst>
          <a:lin ang="5400000" scaled="1"/>
        </a:gradFill>
        <a:ln w="9360" cap="sq">
          <a:solidFill>
            <a:srgbClr val="6666FF"/>
          </a:solidFill>
          <a:prstDash val="sysDot"/>
          <a:miter lim="800000"/>
          <a:headEnd/>
          <a:tailEnd/>
        </a:ln>
        <a:effectLst>
          <a:outerShdw dist="17819" dir="2700000" algn="ctr" rotWithShape="0">
            <a:srgbClr val="000000"/>
          </a:outerShdw>
        </a:effectLst>
      </xdr:spPr>
      <xdr:txBody>
        <a:bodyPr vertOverflow="clip" wrap="square" lIns="20160" tIns="20160" rIns="20160" bIns="20160" anchor="t" upright="1"/>
        <a:lstStyle/>
        <a:p>
          <a:pPr algn="ctr" rtl="0">
            <a:defRPr sz="1000"/>
          </a:pPr>
          <a:r>
            <a:rPr lang="en-US" sz="2200" b="1" i="0" strike="noStrike">
              <a:solidFill>
                <a:srgbClr val="000000"/>
              </a:solidFill>
              <a:latin typeface="MV Boli"/>
              <a:cs typeface="MV Boli"/>
            </a:rPr>
            <a:t>Tractor &amp; Trailer Premium Calculator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9525</xdr:colOff>
      <xdr:row>0</xdr:row>
      <xdr:rowOff>0</xdr:rowOff>
    </xdr:from>
    <xdr:to>
      <xdr:col>8</xdr:col>
      <xdr:colOff>828675</xdr:colOff>
      <xdr:row>1</xdr:row>
      <xdr:rowOff>28575</xdr:rowOff>
    </xdr:to>
    <xdr:sp macro="" textlink="" fLocksText="0">
      <xdr:nvSpPr>
        <xdr:cNvPr id="16385" name="Motor Home Page">
          <a:hlinkClick xmlns:r="http://schemas.openxmlformats.org/officeDocument/2006/relationships" r:id="rId1"/>
        </xdr:cNvPr>
        <xdr:cNvSpPr txBox="1">
          <a:spLocks noChangeArrowheads="1"/>
        </xdr:cNvSpPr>
      </xdr:nvSpPr>
      <xdr:spPr bwMode="auto">
        <a:xfrm>
          <a:off x="9525000" y="0"/>
          <a:ext cx="1857375" cy="485775"/>
        </a:xfrm>
        <a:prstGeom prst="rect">
          <a:avLst/>
        </a:prstGeom>
        <a:blipFill dpi="0" rotWithShape="0">
          <a:blip xmlns:r="http://schemas.openxmlformats.org/officeDocument/2006/relationships" r:embed="rId2"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Motor home Page</a:t>
          </a:r>
        </a:p>
      </xdr:txBody>
    </xdr:sp>
    <xdr:clientData/>
  </xdr:twoCellAnchor>
  <xdr:twoCellAnchor>
    <xdr:from>
      <xdr:col>0</xdr:col>
      <xdr:colOff>0</xdr:colOff>
      <xdr:row>0</xdr:row>
      <xdr:rowOff>0</xdr:rowOff>
    </xdr:from>
    <xdr:to>
      <xdr:col>6</xdr:col>
      <xdr:colOff>19050</xdr:colOff>
      <xdr:row>0</xdr:row>
      <xdr:rowOff>438150</xdr:rowOff>
    </xdr:to>
    <xdr:sp macro="" textlink="" fLocksText="0">
      <xdr:nvSpPr>
        <xdr:cNvPr id="16386" name="Text 69"/>
        <xdr:cNvSpPr txBox="1">
          <a:spLocks noChangeArrowheads="1"/>
        </xdr:cNvSpPr>
      </xdr:nvSpPr>
      <xdr:spPr bwMode="auto">
        <a:xfrm>
          <a:off x="0" y="0"/>
          <a:ext cx="9267825" cy="438150"/>
        </a:xfrm>
        <a:prstGeom prst="rect">
          <a:avLst/>
        </a:prstGeom>
        <a:gradFill rotWithShape="0">
          <a:gsLst>
            <a:gs pos="0">
              <a:srgbClr val="DDDDDD"/>
            </a:gs>
            <a:gs pos="100000">
              <a:srgbClr val="808080"/>
            </a:gs>
          </a:gsLst>
          <a:lin ang="5400000" scaled="1"/>
        </a:gradFill>
        <a:ln w="9360" cap="sq">
          <a:solidFill>
            <a:srgbClr val="6666FF"/>
          </a:solidFill>
          <a:prstDash val="sysDot"/>
          <a:miter lim="800000"/>
          <a:headEnd/>
          <a:tailEnd/>
        </a:ln>
        <a:effectLst>
          <a:outerShdw dist="17819" dir="2700000" algn="ctr" rotWithShape="0">
            <a:srgbClr val="000000"/>
          </a:outerShdw>
        </a:effectLst>
      </xdr:spPr>
      <xdr:txBody>
        <a:bodyPr vertOverflow="clip" wrap="square" lIns="20160" tIns="20160" rIns="20160" bIns="20160" anchor="t" upright="1"/>
        <a:lstStyle/>
        <a:p>
          <a:pPr algn="ctr" rtl="0">
            <a:defRPr sz="1000"/>
          </a:pPr>
          <a:r>
            <a:rPr lang="en-US" sz="2400" b="1" i="0" strike="noStrike">
              <a:solidFill>
                <a:srgbClr val="000000"/>
              </a:solidFill>
              <a:latin typeface="MV Boli"/>
              <a:cs typeface="MV Boli"/>
            </a:rPr>
            <a:t>Miscellaneous Vehicles Premium Calculator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xdr:row>
      <xdr:rowOff>1</xdr:rowOff>
    </xdr:from>
    <xdr:to>
      <xdr:col>9</xdr:col>
      <xdr:colOff>0</xdr:colOff>
      <xdr:row>1</xdr:row>
      <xdr:rowOff>304801</xdr:rowOff>
    </xdr:to>
    <xdr:sp macro="" textlink="" fLocksText="0">
      <xdr:nvSpPr>
        <xdr:cNvPr id="23553" name="Motor Home Page">
          <a:hlinkClick xmlns:r="http://schemas.openxmlformats.org/officeDocument/2006/relationships" r:id="rId1"/>
        </xdr:cNvPr>
        <xdr:cNvSpPr txBox="1">
          <a:spLocks noChangeArrowheads="1"/>
        </xdr:cNvSpPr>
      </xdr:nvSpPr>
      <xdr:spPr bwMode="auto">
        <a:xfrm>
          <a:off x="4324350" y="438151"/>
          <a:ext cx="2438400" cy="304800"/>
        </a:xfrm>
        <a:prstGeom prst="rect">
          <a:avLst/>
        </a:prstGeom>
        <a:blipFill dpi="0" rotWithShape="0">
          <a:blip xmlns:r="http://schemas.openxmlformats.org/officeDocument/2006/relationships" r:embed="rId2"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Motor home Page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895350</xdr:colOff>
      <xdr:row>0</xdr:row>
      <xdr:rowOff>0</xdr:rowOff>
    </xdr:from>
    <xdr:to>
      <xdr:col>11</xdr:col>
      <xdr:colOff>0</xdr:colOff>
      <xdr:row>1</xdr:row>
      <xdr:rowOff>9525</xdr:rowOff>
    </xdr:to>
    <xdr:sp macro="" textlink="" fLocksText="0">
      <xdr:nvSpPr>
        <xdr:cNvPr id="2" name="Motor Home Page">
          <a:hlinkClick xmlns:r="http://schemas.openxmlformats.org/officeDocument/2006/relationships" r:id="rId1"/>
        </xdr:cNvPr>
        <xdr:cNvSpPr txBox="1">
          <a:spLocks noChangeArrowheads="1"/>
        </xdr:cNvSpPr>
      </xdr:nvSpPr>
      <xdr:spPr bwMode="auto">
        <a:xfrm>
          <a:off x="9410700" y="0"/>
          <a:ext cx="2381250" cy="323850"/>
        </a:xfrm>
        <a:prstGeom prst="rect">
          <a:avLst/>
        </a:prstGeom>
        <a:blipFill dpi="0" rotWithShape="0">
          <a:blip xmlns:r="http://schemas.openxmlformats.org/officeDocument/2006/relationships" r:embed="rId2"/>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a:lstStyle/>
        <a:p>
          <a:pPr algn="ctr" rtl="0">
            <a:defRPr sz="1000"/>
          </a:pPr>
          <a:r>
            <a:rPr lang="en-US" sz="1400" b="1" i="0" u="none" strike="noStrike" baseline="0">
              <a:solidFill>
                <a:srgbClr val="000000"/>
              </a:solidFill>
              <a:latin typeface="MV Boli"/>
              <a:cs typeface="MV Boli"/>
            </a:rPr>
            <a:t>Motor home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xdr:colOff>
      <xdr:row>1</xdr:row>
      <xdr:rowOff>0</xdr:rowOff>
    </xdr:to>
    <xdr:sp macro="" textlink="" fLocksText="0">
      <xdr:nvSpPr>
        <xdr:cNvPr id="3073" name="Text 69"/>
        <xdr:cNvSpPr txBox="1">
          <a:spLocks noChangeArrowheads="1"/>
        </xdr:cNvSpPr>
      </xdr:nvSpPr>
      <xdr:spPr bwMode="auto">
        <a:xfrm>
          <a:off x="0" y="0"/>
          <a:ext cx="8943975" cy="352425"/>
        </a:xfrm>
        <a:prstGeom prst="rect">
          <a:avLst/>
        </a:prstGeom>
        <a:gradFill rotWithShape="0">
          <a:gsLst>
            <a:gs pos="0">
              <a:srgbClr val="DDDDDD"/>
            </a:gs>
            <a:gs pos="100000">
              <a:srgbClr val="808080"/>
            </a:gs>
          </a:gsLst>
          <a:lin ang="5400000" scaled="1"/>
        </a:gradFill>
        <a:ln w="9360" cap="sq">
          <a:solidFill>
            <a:srgbClr val="FF9999"/>
          </a:solidFill>
          <a:miter lim="800000"/>
          <a:headEnd/>
          <a:tailEnd/>
        </a:ln>
        <a:effectLst>
          <a:outerShdw dist="17819" dir="2700000" algn="ctr" rotWithShape="0">
            <a:srgbClr val="000000"/>
          </a:outerShdw>
        </a:effectLst>
      </xdr:spPr>
      <xdr:txBody>
        <a:bodyPr vertOverflow="clip" wrap="square" lIns="20160" tIns="20160" rIns="20160" bIns="20160" anchor="t" upright="1"/>
        <a:lstStyle/>
        <a:p>
          <a:pPr algn="ctr" rtl="0">
            <a:defRPr sz="1000"/>
          </a:pPr>
          <a:r>
            <a:rPr lang="en-US" sz="1800" b="1" i="0" strike="noStrike">
              <a:solidFill>
                <a:srgbClr val="000000"/>
              </a:solidFill>
              <a:latin typeface="MV Boli"/>
              <a:cs typeface="MV Boli"/>
            </a:rPr>
            <a:t>Two Wheeler Package &amp; Enhancement Premium Calculator</a:t>
          </a:r>
        </a:p>
        <a:p>
          <a:pPr algn="ctr" rtl="0">
            <a:defRPr sz="1000"/>
          </a:pPr>
          <a:endParaRPr lang="en-US" sz="1800" b="1" i="0" strike="noStrike">
            <a:solidFill>
              <a:srgbClr val="000000"/>
            </a:solidFill>
            <a:latin typeface="MV Boli"/>
            <a:cs typeface="MV Boli"/>
          </a:endParaRPr>
        </a:p>
      </xdr:txBody>
    </xdr:sp>
    <xdr:clientData/>
  </xdr:twoCellAnchor>
  <xdr:twoCellAnchor>
    <xdr:from>
      <xdr:col>7</xdr:col>
      <xdr:colOff>0</xdr:colOff>
      <xdr:row>0</xdr:row>
      <xdr:rowOff>0</xdr:rowOff>
    </xdr:from>
    <xdr:to>
      <xdr:col>9</xdr:col>
      <xdr:colOff>9525</xdr:colOff>
      <xdr:row>1</xdr:row>
      <xdr:rowOff>0</xdr:rowOff>
    </xdr:to>
    <xdr:sp macro="" textlink="" fLocksText="0">
      <xdr:nvSpPr>
        <xdr:cNvPr id="3074" name="Motor Home Page">
          <a:hlinkClick xmlns:r="http://schemas.openxmlformats.org/officeDocument/2006/relationships" r:id="rId1"/>
        </xdr:cNvPr>
        <xdr:cNvSpPr txBox="1">
          <a:spLocks noChangeArrowheads="1"/>
        </xdr:cNvSpPr>
      </xdr:nvSpPr>
      <xdr:spPr bwMode="auto">
        <a:xfrm>
          <a:off x="9144000" y="0"/>
          <a:ext cx="1943100" cy="352425"/>
        </a:xfrm>
        <a:prstGeom prst="rect">
          <a:avLst/>
        </a:prstGeom>
        <a:blipFill dpi="0" rotWithShape="0">
          <a:blip xmlns:r="http://schemas.openxmlformats.org/officeDocument/2006/relationships" r:embed="rId2"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Motor home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38100</xdr:colOff>
      <xdr:row>0</xdr:row>
      <xdr:rowOff>361950</xdr:rowOff>
    </xdr:to>
    <xdr:sp macro="" textlink="" fLocksText="0">
      <xdr:nvSpPr>
        <xdr:cNvPr id="2" name="Text 69"/>
        <xdr:cNvSpPr>
          <a:spLocks noChangeArrowheads="1"/>
        </xdr:cNvSpPr>
      </xdr:nvSpPr>
      <xdr:spPr bwMode="auto">
        <a:xfrm>
          <a:off x="28575" y="0"/>
          <a:ext cx="9753600" cy="352425"/>
        </a:xfrm>
        <a:prstGeom prst="rect">
          <a:avLst/>
        </a:prstGeom>
        <a:gradFill rotWithShape="0">
          <a:gsLst>
            <a:gs pos="0">
              <a:srgbClr val="DDDDDD"/>
            </a:gs>
            <a:gs pos="100000">
              <a:srgbClr val="808080"/>
            </a:gs>
          </a:gsLst>
          <a:lin ang="5400000" scaled="1"/>
        </a:gradFill>
        <a:ln w="9360" cap="flat">
          <a:solidFill>
            <a:srgbClr val="FF9999"/>
          </a:solidFill>
          <a:miter lim="800000"/>
          <a:headEnd/>
          <a:tailEnd/>
        </a:ln>
        <a:effectLst/>
      </xdr:spPr>
      <xdr:txBody>
        <a:bodyPr vertOverflow="clip" wrap="square" lIns="20160" tIns="20160" rIns="20160" bIns="20160" anchor="t" upright="1"/>
        <a:lstStyle/>
        <a:p>
          <a:pPr algn="ctr" rtl="0">
            <a:defRPr sz="1000"/>
          </a:pPr>
          <a:r>
            <a:rPr lang="en-US" sz="1800" b="1" i="0" strike="noStrike">
              <a:solidFill>
                <a:srgbClr val="000000"/>
              </a:solidFill>
              <a:latin typeface="MV Boli"/>
              <a:cs typeface="MV Boli"/>
            </a:rPr>
            <a:t>3 Yr Long Term Two Wheeler Enhancement Cover Premium Calculator</a:t>
          </a:r>
        </a:p>
        <a:p>
          <a:pPr algn="ctr" rtl="0">
            <a:defRPr sz="1000"/>
          </a:pPr>
          <a:endParaRPr lang="en-US" sz="1800" b="1" i="0" strike="noStrike">
            <a:solidFill>
              <a:srgbClr val="000000"/>
            </a:solidFill>
            <a:latin typeface="MV Boli"/>
            <a:cs typeface="MV Boli"/>
          </a:endParaRPr>
        </a:p>
      </xdr:txBody>
    </xdr:sp>
    <xdr:clientData/>
  </xdr:twoCellAnchor>
  <xdr:twoCellAnchor>
    <xdr:from>
      <xdr:col>7</xdr:col>
      <xdr:colOff>47625</xdr:colOff>
      <xdr:row>0</xdr:row>
      <xdr:rowOff>0</xdr:rowOff>
    </xdr:from>
    <xdr:to>
      <xdr:col>9</xdr:col>
      <xdr:colOff>38100</xdr:colOff>
      <xdr:row>0</xdr:row>
      <xdr:rowOff>352425</xdr:rowOff>
    </xdr:to>
    <xdr:sp macro="" textlink="" fLocksText="0">
      <xdr:nvSpPr>
        <xdr:cNvPr id="3" name="Motor Home Page"/>
        <xdr:cNvSpPr>
          <a:spLocks noChangeArrowheads="1"/>
        </xdr:cNvSpPr>
      </xdr:nvSpPr>
      <xdr:spPr bwMode="auto">
        <a:xfrm>
          <a:off x="10001250" y="0"/>
          <a:ext cx="1924050" cy="352425"/>
        </a:xfrm>
        <a:prstGeom prst="rect">
          <a:avLst/>
        </a:prstGeom>
        <a:blipFill dpi="0" rotWithShape="0">
          <a:blip xmlns:r="http://schemas.openxmlformats.org/officeDocument/2006/relationships" r:embed="rId1"/>
          <a:srcRect/>
          <a:tile tx="0" ty="0" sx="100000" sy="100000" flip="none" algn="tl"/>
        </a:blipFill>
        <a:ln w="9360" cap="flat">
          <a:solidFill>
            <a:srgbClr val="FF00CC"/>
          </a:solidFill>
          <a:prstDash val="sysDot"/>
          <a:miter lim="800000"/>
          <a:headEnd/>
          <a:tailEnd/>
        </a:ln>
        <a:effectLst/>
      </xdr:spPr>
      <xdr:txBody>
        <a:bodyPr vertOverflow="clip" wrap="square" lIns="20160" tIns="20160" rIns="20160" bIns="20160" anchor="t" upright="1"/>
        <a:lstStyle/>
        <a:p>
          <a:pPr algn="l" rtl="0">
            <a:defRPr sz="1000"/>
          </a:pPr>
          <a:r>
            <a:rPr lang="en-US" sz="1400" b="1" i="0" strike="noStrike">
              <a:solidFill>
                <a:srgbClr val="000000"/>
              </a:solidFill>
              <a:latin typeface="MV Boli"/>
              <a:cs typeface="MV Boli"/>
            </a:rPr>
            <a:t>Motor home Page</a:t>
          </a:r>
        </a:p>
      </xdr:txBody>
    </xdr:sp>
    <xdr:clientData/>
  </xdr:twoCellAnchor>
  <xdr:twoCellAnchor>
    <xdr:from>
      <xdr:col>7</xdr:col>
      <xdr:colOff>0</xdr:colOff>
      <xdr:row>0</xdr:row>
      <xdr:rowOff>0</xdr:rowOff>
    </xdr:from>
    <xdr:to>
      <xdr:col>9</xdr:col>
      <xdr:colOff>9525</xdr:colOff>
      <xdr:row>1</xdr:row>
      <xdr:rowOff>0</xdr:rowOff>
    </xdr:to>
    <xdr:sp macro="" textlink="" fLocksText="0">
      <xdr:nvSpPr>
        <xdr:cNvPr id="4" name="Motor Home Page">
          <a:hlinkClick xmlns:r="http://schemas.openxmlformats.org/officeDocument/2006/relationships" r:id="rId2"/>
        </xdr:cNvPr>
        <xdr:cNvSpPr txBox="1">
          <a:spLocks noChangeArrowheads="1"/>
        </xdr:cNvSpPr>
      </xdr:nvSpPr>
      <xdr:spPr bwMode="auto">
        <a:xfrm>
          <a:off x="9144000" y="0"/>
          <a:ext cx="1943100" cy="352425"/>
        </a:xfrm>
        <a:prstGeom prst="rect">
          <a:avLst/>
        </a:prstGeom>
        <a:blipFill dpi="0" rotWithShape="0">
          <a:blip xmlns:r="http://schemas.openxmlformats.org/officeDocument/2006/relationships" r:embed="rId1"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Motor home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38100</xdr:colOff>
      <xdr:row>0</xdr:row>
      <xdr:rowOff>361950</xdr:rowOff>
    </xdr:to>
    <xdr:sp macro="" textlink="" fLocksText="0">
      <xdr:nvSpPr>
        <xdr:cNvPr id="2" name="Text 69"/>
        <xdr:cNvSpPr>
          <a:spLocks noChangeArrowheads="1"/>
        </xdr:cNvSpPr>
      </xdr:nvSpPr>
      <xdr:spPr bwMode="auto">
        <a:xfrm>
          <a:off x="28575" y="0"/>
          <a:ext cx="9620250" cy="352425"/>
        </a:xfrm>
        <a:prstGeom prst="rect">
          <a:avLst/>
        </a:prstGeom>
        <a:gradFill rotWithShape="0">
          <a:gsLst>
            <a:gs pos="0">
              <a:srgbClr val="DDDDDD"/>
            </a:gs>
            <a:gs pos="100000">
              <a:srgbClr val="808080"/>
            </a:gs>
          </a:gsLst>
          <a:lin ang="5400000" scaled="1"/>
        </a:gradFill>
        <a:ln w="9360" cap="flat">
          <a:solidFill>
            <a:srgbClr val="FF9999"/>
          </a:solidFill>
          <a:miter lim="800000"/>
          <a:headEnd/>
          <a:tailEnd/>
        </a:ln>
        <a:effectLst/>
      </xdr:spPr>
      <xdr:txBody>
        <a:bodyPr vertOverflow="clip" wrap="square" lIns="20160" tIns="20160" rIns="20160" bIns="20160" anchor="t" upright="1"/>
        <a:lstStyle/>
        <a:p>
          <a:pPr algn="ctr" rtl="0">
            <a:defRPr sz="1000"/>
          </a:pPr>
          <a:r>
            <a:rPr lang="en-US" sz="1800" b="1" i="0" strike="noStrike">
              <a:solidFill>
                <a:srgbClr val="000000"/>
              </a:solidFill>
              <a:latin typeface="MV Boli"/>
              <a:cs typeface="MV Boli"/>
            </a:rPr>
            <a:t>New</a:t>
          </a:r>
          <a:r>
            <a:rPr lang="en-US" sz="1800" b="1" i="0" strike="noStrike" baseline="0">
              <a:solidFill>
                <a:srgbClr val="000000"/>
              </a:solidFill>
              <a:latin typeface="MV Boli"/>
              <a:cs typeface="MV Boli"/>
            </a:rPr>
            <a:t> </a:t>
          </a:r>
          <a:r>
            <a:rPr lang="en-US" sz="1800" b="1" i="0" strike="noStrike">
              <a:solidFill>
                <a:srgbClr val="000000"/>
              </a:solidFill>
              <a:latin typeface="MV Boli"/>
              <a:cs typeface="MV Boli"/>
            </a:rPr>
            <a:t>Long Term Two Wheeler Enhancement and Bundled Cover Premium Calculator</a:t>
          </a:r>
        </a:p>
        <a:p>
          <a:pPr algn="ctr" rtl="0">
            <a:defRPr sz="1000"/>
          </a:pPr>
          <a:endParaRPr lang="en-US" sz="1800" b="1" i="0" strike="noStrike">
            <a:solidFill>
              <a:srgbClr val="000000"/>
            </a:solidFill>
            <a:latin typeface="MV Boli"/>
            <a:cs typeface="MV Boli"/>
          </a:endParaRPr>
        </a:p>
      </xdr:txBody>
    </xdr:sp>
    <xdr:clientData/>
  </xdr:twoCellAnchor>
  <xdr:twoCellAnchor>
    <xdr:from>
      <xdr:col>7</xdr:col>
      <xdr:colOff>47625</xdr:colOff>
      <xdr:row>0</xdr:row>
      <xdr:rowOff>0</xdr:rowOff>
    </xdr:from>
    <xdr:to>
      <xdr:col>9</xdr:col>
      <xdr:colOff>38100</xdr:colOff>
      <xdr:row>0</xdr:row>
      <xdr:rowOff>352425</xdr:rowOff>
    </xdr:to>
    <xdr:sp macro="" textlink="" fLocksText="0">
      <xdr:nvSpPr>
        <xdr:cNvPr id="3" name="Motor Home Page"/>
        <xdr:cNvSpPr>
          <a:spLocks noChangeArrowheads="1"/>
        </xdr:cNvSpPr>
      </xdr:nvSpPr>
      <xdr:spPr bwMode="auto">
        <a:xfrm>
          <a:off x="9867900" y="0"/>
          <a:ext cx="1924050" cy="352425"/>
        </a:xfrm>
        <a:prstGeom prst="rect">
          <a:avLst/>
        </a:prstGeom>
        <a:blipFill dpi="0" rotWithShape="0">
          <a:blip xmlns:r="http://schemas.openxmlformats.org/officeDocument/2006/relationships" r:embed="rId1"/>
          <a:srcRect/>
          <a:tile tx="0" ty="0" sx="100000" sy="100000" flip="none" algn="tl"/>
        </a:blipFill>
        <a:ln w="9360" cap="flat">
          <a:solidFill>
            <a:srgbClr val="FF00CC"/>
          </a:solidFill>
          <a:prstDash val="sysDot"/>
          <a:miter lim="800000"/>
          <a:headEnd/>
          <a:tailEnd/>
        </a:ln>
        <a:effectLst/>
      </xdr:spPr>
      <xdr:txBody>
        <a:bodyPr vertOverflow="clip" wrap="square" lIns="20160" tIns="20160" rIns="20160" bIns="20160" anchor="t" upright="1"/>
        <a:lstStyle/>
        <a:p>
          <a:pPr algn="l" rtl="0">
            <a:defRPr sz="1000"/>
          </a:pPr>
          <a:r>
            <a:rPr lang="en-US" sz="1400" b="1" i="0" strike="noStrike">
              <a:solidFill>
                <a:srgbClr val="000000"/>
              </a:solidFill>
              <a:latin typeface="MV Boli"/>
              <a:cs typeface="MV Boli"/>
            </a:rPr>
            <a:t>Motor home Page</a:t>
          </a:r>
        </a:p>
      </xdr:txBody>
    </xdr:sp>
    <xdr:clientData/>
  </xdr:twoCellAnchor>
  <xdr:twoCellAnchor>
    <xdr:from>
      <xdr:col>7</xdr:col>
      <xdr:colOff>0</xdr:colOff>
      <xdr:row>0</xdr:row>
      <xdr:rowOff>0</xdr:rowOff>
    </xdr:from>
    <xdr:to>
      <xdr:col>9</xdr:col>
      <xdr:colOff>9525</xdr:colOff>
      <xdr:row>1</xdr:row>
      <xdr:rowOff>0</xdr:rowOff>
    </xdr:to>
    <xdr:sp macro="" textlink="" fLocksText="0">
      <xdr:nvSpPr>
        <xdr:cNvPr id="4" name="Motor Home Page">
          <a:hlinkClick xmlns:r="http://schemas.openxmlformats.org/officeDocument/2006/relationships" r:id="rId2"/>
        </xdr:cNvPr>
        <xdr:cNvSpPr txBox="1">
          <a:spLocks noChangeArrowheads="1"/>
        </xdr:cNvSpPr>
      </xdr:nvSpPr>
      <xdr:spPr bwMode="auto">
        <a:xfrm>
          <a:off x="9820275" y="0"/>
          <a:ext cx="1943100" cy="352425"/>
        </a:xfrm>
        <a:prstGeom prst="rect">
          <a:avLst/>
        </a:prstGeom>
        <a:blipFill dpi="0" rotWithShape="0">
          <a:blip xmlns:r="http://schemas.openxmlformats.org/officeDocument/2006/relationships" r:embed="rId1"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Motor home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xdr:colOff>
      <xdr:row>2</xdr:row>
      <xdr:rowOff>0</xdr:rowOff>
    </xdr:to>
    <xdr:sp macro="" textlink="" fLocksText="0">
      <xdr:nvSpPr>
        <xdr:cNvPr id="2" name="Text 69"/>
        <xdr:cNvSpPr txBox="1">
          <a:spLocks noChangeArrowheads="1"/>
        </xdr:cNvSpPr>
      </xdr:nvSpPr>
      <xdr:spPr bwMode="auto">
        <a:xfrm>
          <a:off x="0" y="0"/>
          <a:ext cx="8124825" cy="352425"/>
        </a:xfrm>
        <a:prstGeom prst="rect">
          <a:avLst/>
        </a:prstGeom>
        <a:gradFill rotWithShape="0">
          <a:gsLst>
            <a:gs pos="0">
              <a:srgbClr val="DDDDDD"/>
            </a:gs>
            <a:gs pos="100000">
              <a:srgbClr val="808080"/>
            </a:gs>
          </a:gsLst>
          <a:lin ang="5400000" scaled="1"/>
        </a:gradFill>
        <a:ln w="9360" cap="sq">
          <a:solidFill>
            <a:srgbClr val="6666FF"/>
          </a:solidFill>
          <a:prstDash val="sysDot"/>
          <a:miter lim="800000"/>
          <a:headEnd/>
          <a:tailEnd/>
        </a:ln>
        <a:effectLst>
          <a:outerShdw dist="17819" dir="2700000" algn="ctr" rotWithShape="0">
            <a:srgbClr val="000000"/>
          </a:outerShdw>
        </a:effectLst>
      </xdr:spPr>
      <xdr:txBody>
        <a:bodyPr vertOverflow="clip" wrap="square" lIns="20160" tIns="20160" rIns="20160" bIns="20160" anchor="t" upright="1"/>
        <a:lstStyle/>
        <a:p>
          <a:pPr algn="ctr" rtl="0">
            <a:defRPr sz="1000"/>
          </a:pPr>
          <a:r>
            <a:rPr lang="en-US" sz="1800" b="1" i="0" strike="noStrike">
              <a:solidFill>
                <a:srgbClr val="000000"/>
              </a:solidFill>
              <a:latin typeface="MV Boli"/>
              <a:cs typeface="MV Boli"/>
            </a:rPr>
            <a:t>TW 3 &amp; 5Year Liability</a:t>
          </a:r>
          <a:r>
            <a:rPr lang="en-US" sz="1800" b="1" i="0" strike="noStrike" baseline="0">
              <a:solidFill>
                <a:srgbClr val="000000"/>
              </a:solidFill>
              <a:latin typeface="MV Boli"/>
              <a:cs typeface="MV Boli"/>
            </a:rPr>
            <a:t> Premium Calculator</a:t>
          </a:r>
          <a:endParaRPr lang="en-US" sz="1800" b="1" i="0" strike="noStrike">
            <a:solidFill>
              <a:srgbClr val="000000"/>
            </a:solidFill>
            <a:latin typeface="MV Boli"/>
            <a:cs typeface="MV Boli"/>
          </a:endParaRPr>
        </a:p>
      </xdr:txBody>
    </xdr:sp>
    <xdr:clientData/>
  </xdr:twoCellAnchor>
  <xdr:twoCellAnchor>
    <xdr:from>
      <xdr:col>4</xdr:col>
      <xdr:colOff>9525</xdr:colOff>
      <xdr:row>2</xdr:row>
      <xdr:rowOff>19050</xdr:rowOff>
    </xdr:from>
    <xdr:to>
      <xdr:col>5</xdr:col>
      <xdr:colOff>752475</xdr:colOff>
      <xdr:row>2</xdr:row>
      <xdr:rowOff>390525</xdr:rowOff>
    </xdr:to>
    <xdr:sp macro="" textlink="" fLocksText="0">
      <xdr:nvSpPr>
        <xdr:cNvPr id="3" name="Motor Home Page"/>
        <xdr:cNvSpPr txBox="1">
          <a:spLocks noChangeArrowheads="1"/>
        </xdr:cNvSpPr>
      </xdr:nvSpPr>
      <xdr:spPr bwMode="auto">
        <a:xfrm>
          <a:off x="5210175" y="371475"/>
          <a:ext cx="2905125" cy="371475"/>
        </a:xfrm>
        <a:prstGeom prst="rect">
          <a:avLst/>
        </a:prstGeom>
        <a:blipFill dpi="0" rotWithShape="0">
          <a:blip xmlns:r="http://schemas.openxmlformats.org/officeDocument/2006/relationships" r:embed="rId1"/>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600" b="1" i="0" strike="noStrike">
              <a:solidFill>
                <a:srgbClr val="000000"/>
              </a:solidFill>
              <a:latin typeface="MV Boli"/>
              <a:cs typeface="MV Boli"/>
            </a:rPr>
            <a:t>Motor home Page</a:t>
          </a:r>
        </a:p>
      </xdr:txBody>
    </xdr:sp>
    <xdr:clientData/>
  </xdr:twoCellAnchor>
  <xdr:twoCellAnchor>
    <xdr:from>
      <xdr:col>4</xdr:col>
      <xdr:colOff>47625</xdr:colOff>
      <xdr:row>2</xdr:row>
      <xdr:rowOff>0</xdr:rowOff>
    </xdr:from>
    <xdr:to>
      <xdr:col>6</xdr:col>
      <xdr:colOff>38100</xdr:colOff>
      <xdr:row>2</xdr:row>
      <xdr:rowOff>352425</xdr:rowOff>
    </xdr:to>
    <xdr:sp macro="" textlink="" fLocksText="0">
      <xdr:nvSpPr>
        <xdr:cNvPr id="4" name="Motor Home Page"/>
        <xdr:cNvSpPr>
          <a:spLocks noChangeArrowheads="1"/>
        </xdr:cNvSpPr>
      </xdr:nvSpPr>
      <xdr:spPr bwMode="auto">
        <a:xfrm>
          <a:off x="10115550" y="0"/>
          <a:ext cx="1924050" cy="352425"/>
        </a:xfrm>
        <a:prstGeom prst="rect">
          <a:avLst/>
        </a:prstGeom>
        <a:blipFill dpi="0" rotWithShape="0">
          <a:blip xmlns:r="http://schemas.openxmlformats.org/officeDocument/2006/relationships" r:embed="rId1"/>
          <a:srcRect/>
          <a:tile tx="0" ty="0" sx="100000" sy="100000" flip="none" algn="tl"/>
        </a:blipFill>
        <a:ln w="9360" cap="flat">
          <a:solidFill>
            <a:srgbClr val="FF00CC"/>
          </a:solidFill>
          <a:prstDash val="sysDot"/>
          <a:miter lim="800000"/>
          <a:headEnd/>
          <a:tailEnd/>
        </a:ln>
        <a:effectLst/>
      </xdr:spPr>
      <xdr:txBody>
        <a:bodyPr vertOverflow="clip" wrap="square" lIns="20160" tIns="20160" rIns="20160" bIns="20160" anchor="t" upright="1"/>
        <a:lstStyle/>
        <a:p>
          <a:pPr algn="l" rtl="0">
            <a:defRPr sz="1000"/>
          </a:pPr>
          <a:r>
            <a:rPr lang="en-US" sz="1400" b="1" i="0" strike="noStrike">
              <a:solidFill>
                <a:srgbClr val="000000"/>
              </a:solidFill>
              <a:latin typeface="MV Boli"/>
              <a:cs typeface="MV Boli"/>
            </a:rPr>
            <a:t>Motor home Page</a:t>
          </a:r>
        </a:p>
      </xdr:txBody>
    </xdr:sp>
    <xdr:clientData/>
  </xdr:twoCellAnchor>
  <xdr:twoCellAnchor>
    <xdr:from>
      <xdr:col>4</xdr:col>
      <xdr:colOff>0</xdr:colOff>
      <xdr:row>2</xdr:row>
      <xdr:rowOff>0</xdr:rowOff>
    </xdr:from>
    <xdr:to>
      <xdr:col>6</xdr:col>
      <xdr:colOff>9525</xdr:colOff>
      <xdr:row>3</xdr:row>
      <xdr:rowOff>0</xdr:rowOff>
    </xdr:to>
    <xdr:sp macro="" textlink="" fLocksText="0">
      <xdr:nvSpPr>
        <xdr:cNvPr id="5" name="Motor Home Page">
          <a:hlinkClick xmlns:r="http://schemas.openxmlformats.org/officeDocument/2006/relationships" r:id="rId2"/>
        </xdr:cNvPr>
        <xdr:cNvSpPr txBox="1">
          <a:spLocks noChangeArrowheads="1"/>
        </xdr:cNvSpPr>
      </xdr:nvSpPr>
      <xdr:spPr bwMode="auto">
        <a:xfrm>
          <a:off x="10067925" y="0"/>
          <a:ext cx="1943100" cy="352425"/>
        </a:xfrm>
        <a:prstGeom prst="rect">
          <a:avLst/>
        </a:prstGeom>
        <a:blipFill dpi="0" rotWithShape="0">
          <a:blip xmlns:r="http://schemas.openxmlformats.org/officeDocument/2006/relationships" r:embed="rId1" cstate="print"/>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Motor home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0</xdr:row>
      <xdr:rowOff>0</xdr:rowOff>
    </xdr:from>
    <xdr:to>
      <xdr:col>9</xdr:col>
      <xdr:colOff>28575</xdr:colOff>
      <xdr:row>2</xdr:row>
      <xdr:rowOff>9525</xdr:rowOff>
    </xdr:to>
    <xdr:sp macro="" textlink="" fLocksText="0">
      <xdr:nvSpPr>
        <xdr:cNvPr id="2" name="Motor Home Page">
          <a:hlinkClick xmlns:r="http://schemas.openxmlformats.org/officeDocument/2006/relationships" r:id="rId1"/>
        </xdr:cNvPr>
        <xdr:cNvSpPr>
          <a:spLocks noChangeArrowheads="1"/>
        </xdr:cNvSpPr>
      </xdr:nvSpPr>
      <xdr:spPr bwMode="auto">
        <a:xfrm>
          <a:off x="11582400" y="0"/>
          <a:ext cx="1876425" cy="419100"/>
        </a:xfrm>
        <a:prstGeom prst="rect">
          <a:avLst/>
        </a:prstGeom>
        <a:blipFill dpi="0" rotWithShape="0">
          <a:blip xmlns:r="http://schemas.openxmlformats.org/officeDocument/2006/relationships" r:embed="rId2"/>
          <a:srcRect/>
          <a:tile tx="0" ty="0" sx="100000" sy="100000" flip="none" algn="tl"/>
        </a:blipFill>
        <a:ln w="9360" cap="flat">
          <a:solidFill>
            <a:srgbClr val="CC6699"/>
          </a:solidFill>
          <a:prstDash val="sysDot"/>
          <a:miter lim="800000"/>
          <a:headEnd/>
          <a:tailEnd/>
        </a:ln>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Motor home Page</a:t>
          </a:r>
        </a:p>
      </xdr:txBody>
    </xdr:sp>
    <xdr:clientData/>
  </xdr:twoCellAnchor>
  <xdr:twoCellAnchor>
    <xdr:from>
      <xdr:col>0</xdr:col>
      <xdr:colOff>28575</xdr:colOff>
      <xdr:row>0</xdr:row>
      <xdr:rowOff>0</xdr:rowOff>
    </xdr:from>
    <xdr:to>
      <xdr:col>6</xdr:col>
      <xdr:colOff>47625</xdr:colOff>
      <xdr:row>0</xdr:row>
      <xdr:rowOff>400050</xdr:rowOff>
    </xdr:to>
    <xdr:sp macro="" textlink="" fLocksText="0">
      <xdr:nvSpPr>
        <xdr:cNvPr id="3" name="Text 69"/>
        <xdr:cNvSpPr>
          <a:spLocks noChangeArrowheads="1"/>
        </xdr:cNvSpPr>
      </xdr:nvSpPr>
      <xdr:spPr bwMode="auto">
        <a:xfrm>
          <a:off x="28575" y="0"/>
          <a:ext cx="11325225" cy="400050"/>
        </a:xfrm>
        <a:prstGeom prst="rect">
          <a:avLst/>
        </a:prstGeom>
        <a:gradFill rotWithShape="0">
          <a:gsLst>
            <a:gs pos="0">
              <a:srgbClr val="DDDDDD"/>
            </a:gs>
            <a:gs pos="100000">
              <a:srgbClr val="808080"/>
            </a:gs>
          </a:gsLst>
          <a:lin ang="5400000" scaled="1"/>
        </a:gradFill>
        <a:ln w="9360" cap="flat">
          <a:solidFill>
            <a:srgbClr val="6666FF"/>
          </a:solidFill>
          <a:prstDash val="sysDot"/>
          <a:miter lim="800000"/>
          <a:headEnd/>
          <a:tailEnd/>
        </a:ln>
        <a:effectLst/>
      </xdr:spPr>
      <xdr:txBody>
        <a:bodyPr vertOverflow="clip" wrap="square" lIns="20160" tIns="20160" rIns="20160" bIns="20160" anchor="t" upright="1"/>
        <a:lstStyle/>
        <a:p>
          <a:pPr algn="ctr" rtl="0">
            <a:defRPr sz="1000"/>
          </a:pPr>
          <a:r>
            <a:rPr lang="en-US" sz="1800" b="1" i="0" strike="noStrike">
              <a:solidFill>
                <a:srgbClr val="000000"/>
              </a:solidFill>
              <a:latin typeface="MV Boli"/>
              <a:cs typeface="MV Boli"/>
            </a:rPr>
            <a:t>Private</a:t>
          </a:r>
          <a:r>
            <a:rPr lang="en-US" sz="1800" b="1" i="0" strike="noStrike" baseline="0">
              <a:solidFill>
                <a:srgbClr val="000000"/>
              </a:solidFill>
              <a:latin typeface="MV Boli"/>
              <a:cs typeface="MV Boli"/>
            </a:rPr>
            <a:t> Car Package, Enhancement and Lonterm Policy Premium Calculator</a:t>
          </a:r>
          <a:endParaRPr lang="en-US" sz="1800" b="1" i="0" strike="noStrike">
            <a:solidFill>
              <a:srgbClr val="000000"/>
            </a:solidFill>
            <a:latin typeface="MV Boli"/>
            <a:cs typeface="MV Boli"/>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238125</xdr:colOff>
      <xdr:row>0</xdr:row>
      <xdr:rowOff>0</xdr:rowOff>
    </xdr:from>
    <xdr:to>
      <xdr:col>9</xdr:col>
      <xdr:colOff>28575</xdr:colOff>
      <xdr:row>0</xdr:row>
      <xdr:rowOff>371475</xdr:rowOff>
    </xdr:to>
    <xdr:sp macro="" textlink="" fLocksText="0">
      <xdr:nvSpPr>
        <xdr:cNvPr id="2" name="Motor Home Page">
          <a:hlinkClick xmlns:r="http://schemas.openxmlformats.org/officeDocument/2006/relationships" r:id="rId1"/>
        </xdr:cNvPr>
        <xdr:cNvSpPr>
          <a:spLocks noChangeArrowheads="1"/>
        </xdr:cNvSpPr>
      </xdr:nvSpPr>
      <xdr:spPr bwMode="auto">
        <a:xfrm>
          <a:off x="9505950" y="0"/>
          <a:ext cx="2076450" cy="371475"/>
        </a:xfrm>
        <a:prstGeom prst="rect">
          <a:avLst/>
        </a:prstGeom>
        <a:blipFill dpi="0" rotWithShape="0">
          <a:blip xmlns:r="http://schemas.openxmlformats.org/officeDocument/2006/relationships" r:embed="rId2"/>
          <a:srcRect/>
          <a:tile tx="0" ty="0" sx="100000" sy="100000" flip="none" algn="tl"/>
        </a:blipFill>
        <a:ln w="9360" cap="flat">
          <a:solidFill>
            <a:srgbClr val="FF00CC"/>
          </a:solidFill>
          <a:prstDash val="sysDot"/>
          <a:miter lim="800000"/>
          <a:headEnd/>
          <a:tailEnd/>
        </a:ln>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Motor home Page</a:t>
          </a:r>
        </a:p>
      </xdr:txBody>
    </xdr:sp>
    <xdr:clientData/>
  </xdr:twoCellAnchor>
  <xdr:twoCellAnchor>
    <xdr:from>
      <xdr:col>0</xdr:col>
      <xdr:colOff>28575</xdr:colOff>
      <xdr:row>0</xdr:row>
      <xdr:rowOff>0</xdr:rowOff>
    </xdr:from>
    <xdr:to>
      <xdr:col>6</xdr:col>
      <xdr:colOff>57150</xdr:colOff>
      <xdr:row>1</xdr:row>
      <xdr:rowOff>19050</xdr:rowOff>
    </xdr:to>
    <xdr:sp macro="" textlink="" fLocksText="0">
      <xdr:nvSpPr>
        <xdr:cNvPr id="3" name="Text 69"/>
        <xdr:cNvSpPr>
          <a:spLocks noChangeArrowheads="1"/>
        </xdr:cNvSpPr>
      </xdr:nvSpPr>
      <xdr:spPr bwMode="auto">
        <a:xfrm>
          <a:off x="28575" y="0"/>
          <a:ext cx="9296400" cy="409575"/>
        </a:xfrm>
        <a:prstGeom prst="rect">
          <a:avLst/>
        </a:prstGeom>
        <a:gradFill rotWithShape="0">
          <a:gsLst>
            <a:gs pos="0">
              <a:srgbClr val="DDDDDD"/>
            </a:gs>
            <a:gs pos="100000">
              <a:srgbClr val="808080"/>
            </a:gs>
          </a:gsLst>
          <a:lin ang="5400000" scaled="1"/>
        </a:gradFill>
        <a:ln w="9360" cap="flat">
          <a:solidFill>
            <a:srgbClr val="6666FF"/>
          </a:solidFill>
          <a:prstDash val="sysDot"/>
          <a:miter lim="800000"/>
          <a:headEnd/>
          <a:tailEnd/>
        </a:ln>
        <a:effectLst/>
      </xdr:spPr>
      <xdr:txBody>
        <a:bodyPr vertOverflow="clip" wrap="square" lIns="20160" tIns="20160" rIns="20160" bIns="20160" anchor="t" upright="1"/>
        <a:lstStyle/>
        <a:p>
          <a:pPr algn="ctr" rtl="0">
            <a:defRPr sz="1000"/>
          </a:pPr>
          <a:r>
            <a:rPr lang="en-US" sz="1800" b="1" i="0" strike="noStrike">
              <a:solidFill>
                <a:srgbClr val="000000"/>
              </a:solidFill>
              <a:latin typeface="MV Boli"/>
              <a:cs typeface="MV Boli"/>
            </a:rPr>
            <a:t>Passenger Carrying Vehicle &lt;6 Nil Dep Premium Calculator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0</xdr:rowOff>
    </xdr:from>
    <xdr:to>
      <xdr:col>7</xdr:col>
      <xdr:colOff>666750</xdr:colOff>
      <xdr:row>1</xdr:row>
      <xdr:rowOff>9525</xdr:rowOff>
    </xdr:to>
    <xdr:sp macro="" textlink="" fLocksText="0">
      <xdr:nvSpPr>
        <xdr:cNvPr id="2" name="Text 69"/>
        <xdr:cNvSpPr>
          <a:spLocks noChangeArrowheads="1"/>
        </xdr:cNvSpPr>
      </xdr:nvSpPr>
      <xdr:spPr bwMode="auto">
        <a:xfrm>
          <a:off x="28575" y="0"/>
          <a:ext cx="11363325" cy="381000"/>
        </a:xfrm>
        <a:prstGeom prst="rect">
          <a:avLst/>
        </a:prstGeom>
        <a:gradFill rotWithShape="0">
          <a:gsLst>
            <a:gs pos="0">
              <a:srgbClr val="DDDDDD"/>
            </a:gs>
            <a:gs pos="100000">
              <a:srgbClr val="808080"/>
            </a:gs>
          </a:gsLst>
          <a:lin ang="5400000" scaled="1"/>
        </a:gradFill>
        <a:ln w="9360" cap="flat">
          <a:solidFill>
            <a:srgbClr val="6666FF"/>
          </a:solidFill>
          <a:prstDash val="sysDot"/>
          <a:miter lim="800000"/>
          <a:headEnd/>
          <a:tailEnd/>
        </a:ln>
        <a:effectLst/>
      </xdr:spPr>
      <xdr:txBody>
        <a:bodyPr vertOverflow="clip" wrap="square" lIns="20160" tIns="20160" rIns="20160" bIns="20160" anchor="t" upright="1"/>
        <a:lstStyle/>
        <a:p>
          <a:pPr algn="ctr" rtl="0">
            <a:defRPr sz="1000"/>
          </a:pPr>
          <a:r>
            <a:rPr lang="en-US" sz="1800" b="1" i="0" strike="noStrike">
              <a:solidFill>
                <a:srgbClr val="000000"/>
              </a:solidFill>
              <a:latin typeface="MV Boli"/>
              <a:cs typeface="MV Boli"/>
            </a:rPr>
            <a:t>Passenger Carrying Vehicle &gt;6 Nil Dep Premium Calculator</a:t>
          </a:r>
        </a:p>
      </xdr:txBody>
    </xdr:sp>
    <xdr:clientData/>
  </xdr:twoCellAnchor>
  <xdr:twoCellAnchor>
    <xdr:from>
      <xdr:col>5</xdr:col>
      <xdr:colOff>1143000</xdr:colOff>
      <xdr:row>7</xdr:row>
      <xdr:rowOff>19050</xdr:rowOff>
    </xdr:from>
    <xdr:to>
      <xdr:col>7</xdr:col>
      <xdr:colOff>666750</xdr:colOff>
      <xdr:row>9</xdr:row>
      <xdr:rowOff>47625</xdr:rowOff>
    </xdr:to>
    <xdr:sp macro="" textlink="" fLocksText="0">
      <xdr:nvSpPr>
        <xdr:cNvPr id="3" name="Motor Home Page">
          <a:hlinkClick xmlns:r="http://schemas.openxmlformats.org/officeDocument/2006/relationships" r:id="rId1"/>
        </xdr:cNvPr>
        <xdr:cNvSpPr>
          <a:spLocks noChangeArrowheads="1"/>
        </xdr:cNvSpPr>
      </xdr:nvSpPr>
      <xdr:spPr bwMode="auto">
        <a:xfrm>
          <a:off x="9239250" y="2447925"/>
          <a:ext cx="2152650" cy="533400"/>
        </a:xfrm>
        <a:prstGeom prst="rect">
          <a:avLst/>
        </a:prstGeom>
        <a:blipFill dpi="0" rotWithShape="0">
          <a:blip xmlns:r="http://schemas.openxmlformats.org/officeDocument/2006/relationships" r:embed="rId2"/>
          <a:srcRect/>
          <a:tile tx="0" ty="0" sx="100000" sy="100000" flip="none" algn="tl"/>
        </a:blipFill>
        <a:ln w="10800" cap="flat">
          <a:solidFill>
            <a:srgbClr val="FF00CC"/>
          </a:solidFill>
          <a:prstDash val="sysDot"/>
          <a:miter lim="800000"/>
          <a:headEnd/>
          <a:tailEnd/>
        </a:ln>
        <a:effectLst/>
      </xdr:spPr>
      <xdr:txBody>
        <a:bodyPr vertOverflow="clip" wrap="square" lIns="20880" tIns="20880" rIns="20880" bIns="20880" anchor="t" upright="1"/>
        <a:lstStyle/>
        <a:p>
          <a:pPr algn="ctr" rtl="0">
            <a:defRPr sz="1000"/>
          </a:pPr>
          <a:r>
            <a:rPr lang="en-US" sz="1400" b="1" i="0" strike="noStrike">
              <a:solidFill>
                <a:srgbClr val="000000"/>
              </a:solidFill>
              <a:latin typeface="MV Boli"/>
              <a:cs typeface="MV Boli"/>
            </a:rPr>
            <a:t>Motor home Page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28575</xdr:colOff>
      <xdr:row>0</xdr:row>
      <xdr:rowOff>0</xdr:rowOff>
    </xdr:from>
    <xdr:to>
      <xdr:col>8</xdr:col>
      <xdr:colOff>962025</xdr:colOff>
      <xdr:row>0</xdr:row>
      <xdr:rowOff>428625</xdr:rowOff>
    </xdr:to>
    <xdr:sp macro="" textlink="" fLocksText="0">
      <xdr:nvSpPr>
        <xdr:cNvPr id="2" name="Motor Home Page">
          <a:hlinkClick xmlns:r="http://schemas.openxmlformats.org/officeDocument/2006/relationships" r:id="rId1"/>
        </xdr:cNvPr>
        <xdr:cNvSpPr txBox="1">
          <a:spLocks noChangeArrowheads="1"/>
        </xdr:cNvSpPr>
      </xdr:nvSpPr>
      <xdr:spPr bwMode="auto">
        <a:xfrm>
          <a:off x="10010775" y="0"/>
          <a:ext cx="1990725" cy="428625"/>
        </a:xfrm>
        <a:prstGeom prst="rect">
          <a:avLst/>
        </a:prstGeom>
        <a:blipFill dpi="0" rotWithShape="0">
          <a:blip xmlns:r="http://schemas.openxmlformats.org/officeDocument/2006/relationships" r:embed="rId2"/>
          <a:srcRect/>
          <a:tile tx="0" ty="0" sx="100000" sy="100000" flip="none" algn="tl"/>
        </a:blipFill>
        <a:ln w="9360" cap="sq">
          <a:solidFill>
            <a:srgbClr val="FF00CC"/>
          </a:solidFill>
          <a:prstDash val="sysDot"/>
          <a:miter lim="800000"/>
          <a:headEnd/>
          <a:tailEnd/>
        </a:ln>
        <a:effectLst>
          <a:outerShdw dist="20365" dir="2700000" algn="ctr" rotWithShape="0">
            <a:srgbClr val="669999"/>
          </a:outerShdw>
        </a:effectLst>
      </xdr:spPr>
      <xdr:txBody>
        <a:bodyPr vertOverflow="clip" wrap="square" lIns="20160" tIns="20160" rIns="20160" bIns="20160" anchor="t" upright="1"/>
        <a:lstStyle/>
        <a:p>
          <a:pPr algn="ctr" rtl="0">
            <a:defRPr sz="1000"/>
          </a:pPr>
          <a:r>
            <a:rPr lang="en-US" sz="1400" b="1" i="0" strike="noStrike">
              <a:solidFill>
                <a:srgbClr val="000000"/>
              </a:solidFill>
              <a:latin typeface="MV Boli"/>
              <a:cs typeface="MV Boli"/>
            </a:rPr>
            <a:t>Motor home Page</a:t>
          </a:r>
        </a:p>
      </xdr:txBody>
    </xdr:sp>
    <xdr:clientData/>
  </xdr:twoCellAnchor>
  <xdr:twoCellAnchor>
    <xdr:from>
      <xdr:col>0</xdr:col>
      <xdr:colOff>0</xdr:colOff>
      <xdr:row>0</xdr:row>
      <xdr:rowOff>0</xdr:rowOff>
    </xdr:from>
    <xdr:to>
      <xdr:col>6</xdr:col>
      <xdr:colOff>19050</xdr:colOff>
      <xdr:row>0</xdr:row>
      <xdr:rowOff>428625</xdr:rowOff>
    </xdr:to>
    <xdr:sp macro="" textlink="" fLocksText="0">
      <xdr:nvSpPr>
        <xdr:cNvPr id="3" name="Text 69"/>
        <xdr:cNvSpPr txBox="1">
          <a:spLocks noChangeArrowheads="1"/>
        </xdr:cNvSpPr>
      </xdr:nvSpPr>
      <xdr:spPr bwMode="auto">
        <a:xfrm>
          <a:off x="0" y="0"/>
          <a:ext cx="9686925" cy="428625"/>
        </a:xfrm>
        <a:prstGeom prst="rect">
          <a:avLst/>
        </a:prstGeom>
        <a:gradFill rotWithShape="0">
          <a:gsLst>
            <a:gs pos="0">
              <a:srgbClr val="DDDDDD"/>
            </a:gs>
            <a:gs pos="100000">
              <a:srgbClr val="808080"/>
            </a:gs>
          </a:gsLst>
          <a:lin ang="5400000" scaled="1"/>
        </a:gradFill>
        <a:ln w="9360" cap="sq">
          <a:solidFill>
            <a:srgbClr val="6666FF"/>
          </a:solidFill>
          <a:prstDash val="sysDot"/>
          <a:miter lim="800000"/>
          <a:headEnd/>
          <a:tailEnd/>
        </a:ln>
        <a:effectLst>
          <a:outerShdw dist="17819" dir="2700000" algn="ctr" rotWithShape="0">
            <a:srgbClr val="000000"/>
          </a:outerShdw>
        </a:effectLst>
      </xdr:spPr>
      <xdr:txBody>
        <a:bodyPr vertOverflow="clip" wrap="square" lIns="20160" tIns="20160" rIns="20160" bIns="20160" anchor="t" upright="1"/>
        <a:lstStyle/>
        <a:p>
          <a:pPr algn="ctr" rtl="0">
            <a:defRPr sz="1000"/>
          </a:pPr>
          <a:r>
            <a:rPr lang="en-US" sz="1800" b="1" i="0" strike="noStrike">
              <a:solidFill>
                <a:srgbClr val="000000"/>
              </a:solidFill>
              <a:latin typeface="MV Boli"/>
              <a:cs typeface="MV Boli"/>
            </a:rPr>
            <a:t>Goods Carrying Vehicle Public</a:t>
          </a:r>
          <a:r>
            <a:rPr lang="en-US" sz="1800" b="1" i="0" strike="noStrike" baseline="0">
              <a:solidFill>
                <a:srgbClr val="000000"/>
              </a:solidFill>
              <a:latin typeface="MV Boli"/>
              <a:cs typeface="MV Boli"/>
            </a:rPr>
            <a:t> &amp; Private Premium Calculator</a:t>
          </a:r>
          <a:endParaRPr lang="en-US" sz="1800" b="1" i="0" strike="noStrike">
            <a:solidFill>
              <a:srgbClr val="000000"/>
            </a:solidFill>
            <a:latin typeface="MV Boli"/>
            <a:cs typeface="MV Bol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A/Downloads/2015-16%20MP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5183/Desktop/Premium%20Calculators/For%20Practice/2015-16%20M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or Home Page"/>
      <sheetName val="TW"/>
      <sheetName val="TW Enhancement"/>
      <sheetName val="TW LT Package_2Yrs"/>
      <sheetName val="TW LT Package_3Yrs"/>
      <sheetName val="TW LT Enh_2Yrs"/>
      <sheetName val="TW LT Enh_3Yrs"/>
      <sheetName val="LT TW Liability"/>
      <sheetName val="Private Car"/>
      <sheetName val="PC Zero Dep"/>
      <sheetName val="PCV &lt;6"/>
      <sheetName val="PCV &lt;6 Nil Dep"/>
      <sheetName val="PCV &gt;6"/>
      <sheetName val="PCV &gt;6 Nil Dep"/>
      <sheetName val="GCV Public"/>
      <sheetName val="GCV Nil Dep"/>
      <sheetName val="GCV Private"/>
      <sheetName val="GCV 3wheeled Public"/>
      <sheetName val="GCV 3wheeled Private"/>
      <sheetName val="Tractor &amp; Trailer"/>
      <sheetName val="MISC"/>
      <sheetName val="3 wheeled Pass carrying &lt;6"/>
      <sheetName val="3 wheeled Pass carrying 6 to 17"/>
      <sheetName val="3 wheeled Pass carrying &gt;17"/>
      <sheetName val="Ambulance"/>
      <sheetName val="Hearses"/>
      <sheetName val="Trailer Only"/>
      <sheetName val="TRANSFER (2)"/>
    </sheetNames>
    <sheetDataSet>
      <sheetData sheetId="0"/>
      <sheetData sheetId="1"/>
      <sheetData sheetId="2">
        <row r="99">
          <cell r="AX99" t="str">
            <v>Brand New Car Upto 1 Year</v>
          </cell>
        </row>
        <row r="100">
          <cell r="AX100" t="str">
            <v>1 Years after Date of Registration</v>
          </cell>
        </row>
        <row r="101">
          <cell r="AX101" t="str">
            <v>2 Years after Date of Registration</v>
          </cell>
        </row>
        <row r="102">
          <cell r="AX102" t="str">
            <v>3Years after Date of Registration</v>
          </cell>
        </row>
        <row r="103">
          <cell r="AX103" t="str">
            <v>4 Years after Date of Registration</v>
          </cell>
        </row>
      </sheetData>
      <sheetData sheetId="3"/>
      <sheetData sheetId="4"/>
      <sheetData sheetId="5"/>
      <sheetData sheetId="6"/>
      <sheetData sheetId="7"/>
      <sheetData sheetId="8"/>
      <sheetData sheetId="9">
        <row r="99">
          <cell r="AX99" t="str">
            <v>Brand New Car upto one year of age</v>
          </cell>
        </row>
        <row r="100">
          <cell r="AX100" t="str">
            <v>1Years after Date of Registration</v>
          </cell>
        </row>
        <row r="101">
          <cell r="AX101" t="str">
            <v>2 Years after Date of Registration</v>
          </cell>
        </row>
      </sheetData>
      <sheetData sheetId="10">
        <row r="52">
          <cell r="S52">
            <v>0</v>
          </cell>
        </row>
        <row r="53">
          <cell r="S53">
            <v>20</v>
          </cell>
        </row>
        <row r="54">
          <cell r="S54">
            <v>25</v>
          </cell>
        </row>
        <row r="55">
          <cell r="S55">
            <v>35</v>
          </cell>
        </row>
        <row r="56">
          <cell r="S56">
            <v>45</v>
          </cell>
        </row>
        <row r="57">
          <cell r="S57">
            <v>50</v>
          </cell>
        </row>
        <row r="60">
          <cell r="N60" t="str">
            <v>Yes</v>
          </cell>
          <cell r="P60" t="str">
            <v>Zone A</v>
          </cell>
        </row>
        <row r="61">
          <cell r="N61" t="str">
            <v>No</v>
          </cell>
          <cell r="P61" t="str">
            <v>Zone B</v>
          </cell>
        </row>
      </sheetData>
      <sheetData sheetId="11"/>
      <sheetData sheetId="12">
        <row r="52">
          <cell r="S52">
            <v>0</v>
          </cell>
        </row>
        <row r="53">
          <cell r="S53">
            <v>20</v>
          </cell>
        </row>
        <row r="54">
          <cell r="S54">
            <v>25</v>
          </cell>
        </row>
        <row r="55">
          <cell r="S55">
            <v>35</v>
          </cell>
        </row>
        <row r="56">
          <cell r="S56">
            <v>45</v>
          </cell>
        </row>
        <row r="57">
          <cell r="S57">
            <v>50</v>
          </cell>
        </row>
      </sheetData>
      <sheetData sheetId="13"/>
      <sheetData sheetId="14">
        <row r="51">
          <cell r="S51">
            <v>0</v>
          </cell>
        </row>
        <row r="52">
          <cell r="S52">
            <v>20</v>
          </cell>
        </row>
        <row r="53">
          <cell r="S53">
            <v>25</v>
          </cell>
        </row>
        <row r="54">
          <cell r="S54">
            <v>35</v>
          </cell>
        </row>
        <row r="55">
          <cell r="S55">
            <v>45</v>
          </cell>
        </row>
        <row r="56">
          <cell r="S56">
            <v>50</v>
          </cell>
        </row>
        <row r="59">
          <cell r="M59" t="str">
            <v>&lt;5</v>
          </cell>
          <cell r="P59" t="str">
            <v>Zone A</v>
          </cell>
        </row>
        <row r="60">
          <cell r="M60" t="str">
            <v>5 to 7</v>
          </cell>
          <cell r="P60" t="str">
            <v>Zone B</v>
          </cell>
        </row>
        <row r="61">
          <cell r="M61" t="str">
            <v>&gt;7</v>
          </cell>
          <cell r="P61" t="str">
            <v>Zone C</v>
          </cell>
        </row>
      </sheetData>
      <sheetData sheetId="15">
        <row r="85">
          <cell r="O85" t="str">
            <v>Brand New Vehicle</v>
          </cell>
        </row>
        <row r="86">
          <cell r="O86" t="str">
            <v>1 Years after Date of Registration</v>
          </cell>
        </row>
        <row r="87">
          <cell r="O87" t="str">
            <v>2 Years after Date of Registration</v>
          </cell>
        </row>
        <row r="88">
          <cell r="O88" t="str">
            <v>3 Years after Date of Registration</v>
          </cell>
        </row>
        <row r="89">
          <cell r="O89" t="str">
            <v>4 Years after Date of Registration</v>
          </cell>
        </row>
      </sheetData>
      <sheetData sheetId="16">
        <row r="51">
          <cell r="S51">
            <v>0</v>
          </cell>
        </row>
        <row r="52">
          <cell r="S52">
            <v>20</v>
          </cell>
        </row>
        <row r="53">
          <cell r="S53">
            <v>25</v>
          </cell>
        </row>
        <row r="54">
          <cell r="S54">
            <v>35</v>
          </cell>
        </row>
        <row r="55">
          <cell r="S55">
            <v>45</v>
          </cell>
        </row>
        <row r="56">
          <cell r="S56">
            <v>50</v>
          </cell>
        </row>
      </sheetData>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or Home Page"/>
      <sheetName val="TW"/>
      <sheetName val="TW Enhancement"/>
      <sheetName val="TW LT Package_2Yrs"/>
      <sheetName val="TW LT Package_3Yrs"/>
      <sheetName val="TW LT Enh_2Yrs"/>
      <sheetName val="TW LT Enh_3Yrs"/>
      <sheetName val="LT TW Liability"/>
      <sheetName val="Private Car"/>
      <sheetName val="PC Zero Dep"/>
      <sheetName val="PCV &lt;6"/>
      <sheetName val="PCV &lt;6 Nil Dep"/>
      <sheetName val="PCV &gt;6"/>
      <sheetName val="PCV &gt;6 Nil Dep"/>
      <sheetName val="GCV Public"/>
      <sheetName val="GCV Nil Dep"/>
      <sheetName val="GCV Private"/>
      <sheetName val="GCV 3wheeled Public"/>
      <sheetName val="GCV 3wheeled Private"/>
      <sheetName val="Tractor &amp; Trailer"/>
      <sheetName val="MISC"/>
      <sheetName val="3 wheeled Pass carrying &lt;6"/>
      <sheetName val="3 wheeled Pass carrying 6 to 17"/>
      <sheetName val="3 wheeled Pass carrying &gt;17"/>
      <sheetName val="Ambulance"/>
      <sheetName val="Hearses"/>
      <sheetName val="Trailer Only"/>
      <sheetName val="TRANSFER (2)"/>
    </sheetNames>
    <sheetDataSet>
      <sheetData sheetId="0"/>
      <sheetData sheetId="1"/>
      <sheetData sheetId="2">
        <row r="99">
          <cell r="AX99" t="str">
            <v>Brand New Car Upto 1 Year</v>
          </cell>
        </row>
        <row r="100">
          <cell r="AX100" t="str">
            <v>1 Years after Date of Registration</v>
          </cell>
        </row>
        <row r="101">
          <cell r="AX101" t="str">
            <v>2 Years after Date of Registration</v>
          </cell>
        </row>
        <row r="102">
          <cell r="AX102" t="str">
            <v>3Years after Date of Registration</v>
          </cell>
        </row>
        <row r="103">
          <cell r="AX103" t="str">
            <v>4 Years after Date of Registration</v>
          </cell>
        </row>
      </sheetData>
      <sheetData sheetId="3"/>
      <sheetData sheetId="4"/>
      <sheetData sheetId="5"/>
      <sheetData sheetId="6"/>
      <sheetData sheetId="7"/>
      <sheetData sheetId="8"/>
      <sheetData sheetId="9">
        <row r="99">
          <cell r="AX99" t="str">
            <v>Brand New Car upto one year of age</v>
          </cell>
        </row>
        <row r="100">
          <cell r="AX100" t="str">
            <v>1Years after Date of Registration</v>
          </cell>
        </row>
        <row r="101">
          <cell r="AX101" t="str">
            <v>2 Years after Date of Registration</v>
          </cell>
        </row>
      </sheetData>
      <sheetData sheetId="10">
        <row r="52">
          <cell r="S52">
            <v>0</v>
          </cell>
        </row>
        <row r="53">
          <cell r="S53">
            <v>20</v>
          </cell>
        </row>
        <row r="54">
          <cell r="S54">
            <v>25</v>
          </cell>
        </row>
        <row r="55">
          <cell r="S55">
            <v>35</v>
          </cell>
        </row>
        <row r="56">
          <cell r="S56">
            <v>45</v>
          </cell>
        </row>
        <row r="57">
          <cell r="S57">
            <v>50</v>
          </cell>
        </row>
        <row r="60">
          <cell r="N60" t="str">
            <v>Yes</v>
          </cell>
          <cell r="P60" t="str">
            <v>Zone A</v>
          </cell>
        </row>
        <row r="61">
          <cell r="N61" t="str">
            <v>No</v>
          </cell>
          <cell r="P61" t="str">
            <v>Zone B</v>
          </cell>
        </row>
      </sheetData>
      <sheetData sheetId="11"/>
      <sheetData sheetId="12">
        <row r="52">
          <cell r="S52">
            <v>0</v>
          </cell>
        </row>
        <row r="53">
          <cell r="S53">
            <v>20</v>
          </cell>
        </row>
        <row r="54">
          <cell r="S54">
            <v>25</v>
          </cell>
        </row>
        <row r="55">
          <cell r="S55">
            <v>35</v>
          </cell>
        </row>
        <row r="56">
          <cell r="S56">
            <v>45</v>
          </cell>
        </row>
        <row r="57">
          <cell r="S57">
            <v>50</v>
          </cell>
        </row>
      </sheetData>
      <sheetData sheetId="13"/>
      <sheetData sheetId="14">
        <row r="51">
          <cell r="S51">
            <v>0</v>
          </cell>
        </row>
        <row r="52">
          <cell r="S52">
            <v>20</v>
          </cell>
        </row>
        <row r="53">
          <cell r="S53">
            <v>25</v>
          </cell>
        </row>
        <row r="54">
          <cell r="S54">
            <v>35</v>
          </cell>
        </row>
        <row r="55">
          <cell r="S55">
            <v>45</v>
          </cell>
        </row>
        <row r="56">
          <cell r="S56">
            <v>50</v>
          </cell>
        </row>
        <row r="59">
          <cell r="M59" t="str">
            <v>&lt;5</v>
          </cell>
          <cell r="P59" t="str">
            <v>Zone A</v>
          </cell>
        </row>
        <row r="60">
          <cell r="M60" t="str">
            <v>5 to 7</v>
          </cell>
          <cell r="P60" t="str">
            <v>Zone B</v>
          </cell>
        </row>
        <row r="61">
          <cell r="M61" t="str">
            <v>&gt;7</v>
          </cell>
          <cell r="P61" t="str">
            <v>Zone C</v>
          </cell>
        </row>
      </sheetData>
      <sheetData sheetId="15">
        <row r="85">
          <cell r="O85" t="str">
            <v>Brand New Vehicle</v>
          </cell>
        </row>
        <row r="86">
          <cell r="O86" t="str">
            <v>1 Years after Date of Registration</v>
          </cell>
        </row>
        <row r="87">
          <cell r="O87" t="str">
            <v>2 Years after Date of Registration</v>
          </cell>
        </row>
        <row r="88">
          <cell r="O88" t="str">
            <v>3 Years after Date of Registration</v>
          </cell>
        </row>
        <row r="89">
          <cell r="O89" t="str">
            <v>4 Years after Date of Registration</v>
          </cell>
        </row>
      </sheetData>
      <sheetData sheetId="16">
        <row r="51">
          <cell r="S51">
            <v>0</v>
          </cell>
        </row>
        <row r="52">
          <cell r="S52">
            <v>20</v>
          </cell>
        </row>
        <row r="53">
          <cell r="S53">
            <v>25</v>
          </cell>
        </row>
        <row r="54">
          <cell r="S54">
            <v>35</v>
          </cell>
        </row>
        <row r="55">
          <cell r="S55">
            <v>45</v>
          </cell>
        </row>
        <row r="56">
          <cell r="S56">
            <v>50</v>
          </cell>
        </row>
      </sheetData>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SheetLayoutView="51" workbookViewId="0"/>
  </sheetViews>
  <sheetFormatPr defaultColWidth="11.5703125" defaultRowHeight="16.5"/>
  <cols>
    <col min="1" max="2" width="11.5703125" style="1"/>
    <col min="3" max="3" width="14.85546875" style="1" customWidth="1"/>
    <col min="4" max="5" width="11.5703125" style="1"/>
    <col min="6" max="6" width="10" style="1" customWidth="1"/>
    <col min="7" max="7" width="7.85546875" style="1" customWidth="1"/>
    <col min="8" max="9" width="11.5703125" style="1"/>
    <col min="10" max="10" width="6.85546875" style="1" customWidth="1"/>
    <col min="11" max="11" width="7.7109375" style="1" customWidth="1"/>
    <col min="12" max="16384" width="11.5703125" style="1"/>
  </cols>
  <sheetData>
    <row r="1" spans="1:17" ht="58.15" customHeight="1" thickBot="1">
      <c r="L1" s="939" t="s">
        <v>590</v>
      </c>
      <c r="M1" s="940"/>
      <c r="N1" s="818">
        <v>18</v>
      </c>
    </row>
    <row r="2" spans="1:17">
      <c r="L2" s="948" t="s">
        <v>591</v>
      </c>
      <c r="M2" s="948"/>
      <c r="N2" s="948"/>
    </row>
    <row r="3" spans="1:17" ht="16.7" customHeight="1">
      <c r="A3" s="945" t="s">
        <v>0</v>
      </c>
      <c r="B3" s="945"/>
      <c r="C3" s="945"/>
      <c r="D3" s="2"/>
      <c r="E3" s="944"/>
      <c r="F3" s="944"/>
      <c r="G3" s="944"/>
      <c r="H3" s="2"/>
      <c r="I3" s="2"/>
      <c r="J3" s="2"/>
      <c r="K3" s="2"/>
      <c r="L3" s="949"/>
      <c r="M3" s="949"/>
      <c r="N3" s="949"/>
    </row>
    <row r="4" spans="1:17" ht="16.7" customHeight="1">
      <c r="A4" s="945"/>
      <c r="B4" s="945"/>
      <c r="C4" s="945"/>
      <c r="D4" s="2"/>
      <c r="E4" s="944"/>
      <c r="F4" s="944"/>
      <c r="G4" s="944"/>
      <c r="H4" s="2"/>
      <c r="I4" s="2"/>
      <c r="J4" s="2"/>
      <c r="K4" s="2"/>
      <c r="L4" s="949"/>
      <c r="M4" s="949"/>
      <c r="N4" s="949"/>
    </row>
    <row r="5" spans="1:17">
      <c r="A5" s="2"/>
      <c r="B5" s="2"/>
      <c r="C5" s="2"/>
      <c r="D5" s="2"/>
      <c r="E5" s="2"/>
      <c r="F5" s="2"/>
      <c r="G5" s="2"/>
      <c r="H5" s="2"/>
      <c r="I5" s="2"/>
      <c r="J5" s="2"/>
      <c r="K5" s="2"/>
    </row>
    <row r="6" spans="1:17" ht="20.25">
      <c r="D6" s="3"/>
      <c r="E6" s="946"/>
      <c r="F6" s="946"/>
      <c r="G6" s="946"/>
      <c r="H6" s="3"/>
      <c r="I6" s="947"/>
      <c r="J6" s="947"/>
      <c r="K6" s="947"/>
    </row>
    <row r="7" spans="1:17" ht="20.25">
      <c r="D7" s="3"/>
      <c r="E7" s="946"/>
      <c r="F7" s="946"/>
      <c r="G7" s="946"/>
      <c r="H7" s="3"/>
      <c r="I7" s="947"/>
      <c r="J7" s="947"/>
      <c r="K7" s="947"/>
    </row>
    <row r="8" spans="1:17" ht="140.25" customHeight="1">
      <c r="A8" s="3"/>
      <c r="B8" s="3"/>
      <c r="C8" s="3"/>
      <c r="D8" s="3"/>
      <c r="E8" s="3"/>
      <c r="F8" s="3"/>
      <c r="G8" s="3"/>
      <c r="H8" s="3"/>
      <c r="I8" s="2"/>
      <c r="J8" s="3"/>
      <c r="K8" s="3"/>
    </row>
    <row r="9" spans="1:17" ht="20.25" hidden="1">
      <c r="A9" s="4"/>
      <c r="B9" s="4"/>
      <c r="C9" s="4"/>
      <c r="D9" s="4"/>
      <c r="E9" s="3"/>
      <c r="F9" s="3"/>
      <c r="G9" s="3"/>
      <c r="H9" s="3"/>
      <c r="I9" s="2"/>
      <c r="J9" s="3"/>
      <c r="K9" s="3"/>
    </row>
    <row r="10" spans="1:17" ht="20.25">
      <c r="A10" s="941"/>
      <c r="B10" s="941"/>
      <c r="C10" s="941"/>
      <c r="D10" s="3"/>
      <c r="E10" s="942"/>
      <c r="F10" s="942"/>
      <c r="G10" s="942"/>
      <c r="H10" s="3"/>
      <c r="I10" s="943"/>
      <c r="J10" s="943"/>
      <c r="K10" s="943"/>
    </row>
    <row r="11" spans="1:17" ht="20.25">
      <c r="A11" s="941"/>
      <c r="B11" s="941"/>
      <c r="C11" s="941"/>
      <c r="D11" s="3"/>
      <c r="E11" s="942"/>
      <c r="F11" s="942"/>
      <c r="G11" s="942"/>
      <c r="H11" s="3"/>
      <c r="I11" s="943"/>
      <c r="J11" s="943"/>
      <c r="K11" s="943"/>
    </row>
    <row r="12" spans="1:17" ht="20.25">
      <c r="A12" s="811"/>
      <c r="B12" s="811"/>
      <c r="C12" s="811"/>
      <c r="D12" s="811"/>
      <c r="E12" s="2"/>
      <c r="F12" s="3"/>
      <c r="G12" s="3"/>
      <c r="H12" s="3"/>
      <c r="I12" s="2"/>
      <c r="J12" s="2"/>
      <c r="K12" s="2"/>
    </row>
    <row r="13" spans="1:17" ht="20.25" customHeight="1">
      <c r="A13" s="796"/>
      <c r="B13" s="796"/>
      <c r="C13" s="796"/>
      <c r="D13" s="797"/>
      <c r="E13" s="793"/>
      <c r="F13" s="793"/>
      <c r="G13" s="793"/>
      <c r="H13" s="792"/>
      <c r="I13" s="794"/>
      <c r="J13" s="794"/>
      <c r="K13" s="794"/>
      <c r="L13" s="795"/>
      <c r="M13" s="795"/>
    </row>
    <row r="14" spans="1:17" ht="20.25" customHeight="1">
      <c r="A14" s="796"/>
      <c r="B14" s="796"/>
      <c r="C14" s="796"/>
      <c r="D14" s="797"/>
      <c r="E14" s="798"/>
      <c r="F14" s="798"/>
      <c r="G14" s="798"/>
      <c r="H14" s="797"/>
      <c r="I14" s="799"/>
      <c r="J14" s="799"/>
      <c r="K14" s="799"/>
      <c r="L14" s="800"/>
      <c r="M14" s="800"/>
    </row>
    <row r="15" spans="1:17" ht="20.25">
      <c r="A15" s="801"/>
      <c r="B15" s="801"/>
      <c r="C15" s="801"/>
      <c r="D15" s="801"/>
      <c r="E15" s="797"/>
      <c r="F15" s="797"/>
      <c r="G15" s="797"/>
      <c r="H15" s="797"/>
      <c r="I15" s="801"/>
      <c r="J15" s="801"/>
      <c r="K15" s="801"/>
      <c r="L15" s="800"/>
      <c r="M15" s="800"/>
      <c r="N15" s="812"/>
      <c r="O15" s="812"/>
      <c r="P15" s="812"/>
      <c r="Q15" s="812"/>
    </row>
    <row r="16" spans="1:17" ht="20.25" customHeight="1">
      <c r="A16" s="801"/>
      <c r="B16" s="801"/>
      <c r="C16" s="801"/>
      <c r="D16" s="801"/>
      <c r="E16" s="802"/>
      <c r="F16" s="802"/>
      <c r="G16" s="802"/>
      <c r="H16" s="797"/>
      <c r="I16" s="803"/>
      <c r="J16" s="803"/>
      <c r="K16" s="803"/>
      <c r="L16" s="800"/>
      <c r="M16" s="800"/>
      <c r="N16" s="812"/>
      <c r="O16" s="812"/>
      <c r="P16" s="812"/>
      <c r="Q16" s="812"/>
    </row>
    <row r="17" spans="1:17" ht="20.25" customHeight="1">
      <c r="A17" s="804"/>
      <c r="B17" s="804"/>
      <c r="C17" s="804"/>
      <c r="D17" s="801"/>
      <c r="E17" s="802"/>
      <c r="F17" s="802"/>
      <c r="G17" s="802"/>
      <c r="H17" s="797"/>
      <c r="I17" s="803"/>
      <c r="J17" s="803"/>
      <c r="K17" s="803"/>
      <c r="L17" s="800"/>
      <c r="M17" s="800"/>
      <c r="N17" s="812"/>
      <c r="O17" s="812"/>
      <c r="P17" s="812"/>
      <c r="Q17" s="812"/>
    </row>
    <row r="18" spans="1:17" ht="20.25" customHeight="1">
      <c r="A18" s="804"/>
      <c r="B18" s="804"/>
      <c r="C18" s="804"/>
      <c r="D18" s="801"/>
      <c r="E18" s="801"/>
      <c r="F18" s="801"/>
      <c r="G18" s="801"/>
      <c r="H18" s="797"/>
      <c r="I18" s="801"/>
      <c r="J18" s="801"/>
      <c r="K18" s="801"/>
      <c r="L18" s="800"/>
      <c r="M18" s="800"/>
      <c r="N18" s="812"/>
      <c r="O18" s="812"/>
      <c r="P18" s="812"/>
      <c r="Q18" s="812"/>
    </row>
    <row r="19" spans="1:17" ht="20.25" customHeight="1">
      <c r="A19" s="804"/>
      <c r="B19" s="804"/>
      <c r="C19" s="804"/>
      <c r="D19" s="801"/>
      <c r="E19" s="801"/>
      <c r="F19" s="801"/>
      <c r="G19" s="801"/>
      <c r="H19" s="797"/>
      <c r="I19" s="801"/>
      <c r="J19" s="801"/>
      <c r="K19" s="801"/>
      <c r="L19" s="800"/>
      <c r="M19" s="800"/>
      <c r="N19" s="812"/>
      <c r="O19" s="812"/>
      <c r="P19" s="812"/>
      <c r="Q19" s="812"/>
    </row>
    <row r="20" spans="1:17" ht="20.25" customHeight="1">
      <c r="A20" s="805"/>
      <c r="B20" s="805"/>
      <c r="C20" s="805"/>
      <c r="D20" s="797"/>
      <c r="E20" s="806"/>
      <c r="F20" s="806"/>
      <c r="G20" s="806"/>
      <c r="H20" s="797"/>
      <c r="I20" s="807"/>
      <c r="J20" s="807"/>
      <c r="K20" s="807"/>
      <c r="L20" s="800"/>
      <c r="M20" s="800"/>
      <c r="N20" s="812"/>
      <c r="O20" s="812"/>
      <c r="P20" s="812"/>
      <c r="Q20" s="812"/>
    </row>
    <row r="21" spans="1:17" ht="20.25" customHeight="1">
      <c r="A21" s="806"/>
      <c r="B21" s="806"/>
      <c r="C21" s="806"/>
      <c r="D21" s="797"/>
      <c r="E21" s="806"/>
      <c r="F21" s="806"/>
      <c r="G21" s="806"/>
      <c r="H21" s="797"/>
      <c r="I21" s="807"/>
      <c r="J21" s="807"/>
      <c r="K21" s="807"/>
      <c r="L21" s="800"/>
      <c r="M21" s="800"/>
      <c r="N21" s="812"/>
      <c r="O21" s="812"/>
      <c r="P21" s="812"/>
      <c r="Q21" s="812"/>
    </row>
    <row r="22" spans="1:17" ht="20.25" customHeight="1">
      <c r="A22" s="806"/>
      <c r="B22" s="806"/>
      <c r="C22" s="806"/>
      <c r="D22" s="797"/>
      <c r="E22" s="797"/>
      <c r="F22" s="797"/>
      <c r="G22" s="797"/>
      <c r="H22" s="797"/>
      <c r="I22" s="797"/>
      <c r="J22" s="797"/>
      <c r="K22" s="797"/>
      <c r="L22" s="800"/>
      <c r="M22" s="800"/>
      <c r="N22" s="812"/>
      <c r="O22" s="812"/>
      <c r="P22" s="812"/>
      <c r="Q22" s="812"/>
    </row>
    <row r="23" spans="1:17" ht="20.25" customHeight="1">
      <c r="A23" s="805"/>
      <c r="B23" s="805"/>
      <c r="C23" s="805"/>
      <c r="D23" s="797"/>
      <c r="E23" s="806"/>
      <c r="F23" s="806"/>
      <c r="G23" s="806"/>
      <c r="H23" s="797"/>
      <c r="I23" s="808"/>
      <c r="J23" s="808"/>
      <c r="K23" s="808"/>
      <c r="L23" s="800"/>
      <c r="M23" s="800"/>
      <c r="N23" s="812"/>
      <c r="O23" s="812"/>
      <c r="P23" s="812"/>
      <c r="Q23" s="812"/>
    </row>
    <row r="24" spans="1:17" ht="20.25" customHeight="1">
      <c r="A24" s="805"/>
      <c r="B24" s="805"/>
      <c r="C24" s="805"/>
      <c r="D24" s="797"/>
      <c r="E24" s="806"/>
      <c r="F24" s="806"/>
      <c r="G24" s="806"/>
      <c r="H24" s="797"/>
      <c r="I24" s="808"/>
      <c r="J24" s="808"/>
      <c r="K24" s="808"/>
      <c r="L24" s="800"/>
      <c r="M24" s="800"/>
      <c r="N24" s="812"/>
      <c r="O24" s="812"/>
      <c r="P24" s="812"/>
      <c r="Q24" s="812"/>
    </row>
    <row r="25" spans="1:17" ht="20.25">
      <c r="A25" s="805"/>
      <c r="B25" s="805"/>
      <c r="C25" s="805"/>
      <c r="D25" s="797"/>
      <c r="E25" s="797"/>
      <c r="F25" s="797"/>
      <c r="G25" s="797"/>
      <c r="H25" s="797"/>
      <c r="I25" s="797"/>
      <c r="J25" s="797"/>
      <c r="K25" s="797"/>
      <c r="L25" s="800"/>
      <c r="M25" s="800"/>
      <c r="N25" s="812"/>
      <c r="O25" s="812"/>
      <c r="P25" s="812"/>
      <c r="Q25" s="812"/>
    </row>
    <row r="26" spans="1:17">
      <c r="A26" s="801"/>
      <c r="B26" s="801"/>
      <c r="C26" s="801"/>
      <c r="D26" s="800"/>
      <c r="E26" s="800"/>
      <c r="F26" s="800"/>
      <c r="G26" s="800"/>
      <c r="H26" s="800"/>
      <c r="I26" s="800"/>
      <c r="J26" s="800"/>
      <c r="K26" s="800"/>
      <c r="L26" s="800"/>
      <c r="M26" s="800"/>
      <c r="N26" s="812"/>
      <c r="O26" s="812"/>
      <c r="P26" s="812"/>
      <c r="Q26" s="812"/>
    </row>
    <row r="27" spans="1:17" ht="16.7" customHeight="1">
      <c r="A27" s="809"/>
      <c r="B27" s="809"/>
      <c r="C27" s="809"/>
      <c r="D27" s="800"/>
      <c r="E27" s="800"/>
      <c r="F27" s="800"/>
      <c r="G27" s="800"/>
      <c r="H27" s="800"/>
      <c r="I27" s="800"/>
      <c r="J27" s="800"/>
      <c r="K27" s="800"/>
      <c r="L27" s="800"/>
      <c r="M27" s="800"/>
      <c r="N27" s="812"/>
      <c r="O27" s="812"/>
      <c r="P27" s="812"/>
      <c r="Q27" s="812"/>
    </row>
    <row r="28" spans="1:17" ht="16.7" customHeight="1">
      <c r="A28" s="809"/>
      <c r="B28" s="809"/>
      <c r="C28" s="809"/>
      <c r="D28" s="800"/>
      <c r="E28" s="800"/>
      <c r="F28" s="800"/>
      <c r="G28" s="800"/>
      <c r="H28" s="800"/>
      <c r="I28" s="800"/>
      <c r="J28" s="800"/>
      <c r="K28" s="800"/>
      <c r="L28" s="800"/>
      <c r="M28" s="800"/>
      <c r="N28" s="812"/>
      <c r="O28" s="812"/>
      <c r="P28" s="812"/>
      <c r="Q28" s="812"/>
    </row>
    <row r="29" spans="1:17" ht="20.25">
      <c r="A29" s="797"/>
      <c r="B29" s="797"/>
      <c r="C29" s="797"/>
      <c r="D29" s="800"/>
      <c r="E29" s="800"/>
      <c r="F29" s="800"/>
      <c r="G29" s="800"/>
      <c r="H29" s="800"/>
      <c r="I29" s="800"/>
      <c r="J29" s="800"/>
      <c r="K29" s="800"/>
      <c r="L29" s="800"/>
      <c r="M29" s="800"/>
      <c r="N29" s="812"/>
      <c r="O29" s="812"/>
      <c r="P29" s="812"/>
      <c r="Q29" s="812"/>
    </row>
    <row r="30" spans="1:17" ht="16.7" customHeight="1">
      <c r="A30" s="810"/>
      <c r="B30" s="810"/>
      <c r="C30" s="810"/>
      <c r="D30" s="800"/>
      <c r="E30" s="800"/>
      <c r="F30" s="800"/>
      <c r="G30" s="800"/>
      <c r="H30" s="800"/>
      <c r="I30" s="800"/>
      <c r="J30" s="800"/>
      <c r="K30" s="800"/>
      <c r="L30" s="800"/>
      <c r="M30" s="800"/>
      <c r="N30" s="812"/>
      <c r="O30" s="812"/>
      <c r="P30" s="812"/>
      <c r="Q30" s="812"/>
    </row>
    <row r="31" spans="1:17" ht="16.7" customHeight="1">
      <c r="A31" s="810"/>
      <c r="B31" s="810"/>
      <c r="C31" s="810"/>
      <c r="D31" s="800"/>
      <c r="E31" s="800"/>
      <c r="F31" s="800"/>
      <c r="G31" s="800"/>
      <c r="H31" s="800"/>
      <c r="I31" s="800"/>
      <c r="J31" s="800"/>
      <c r="K31" s="800"/>
      <c r="L31" s="800"/>
      <c r="M31" s="800"/>
      <c r="N31" s="812"/>
      <c r="O31" s="812"/>
      <c r="P31" s="812"/>
      <c r="Q31" s="812"/>
    </row>
    <row r="32" spans="1:17" ht="20.25">
      <c r="A32" s="797"/>
      <c r="B32" s="797"/>
      <c r="C32" s="797"/>
      <c r="D32" s="800"/>
      <c r="E32" s="800"/>
      <c r="F32" s="800"/>
      <c r="G32" s="800"/>
      <c r="H32" s="800"/>
      <c r="I32" s="800"/>
      <c r="J32" s="800"/>
      <c r="K32" s="800"/>
      <c r="L32" s="800"/>
      <c r="M32" s="800"/>
      <c r="N32" s="812"/>
      <c r="O32" s="812"/>
      <c r="P32" s="812"/>
      <c r="Q32" s="812"/>
    </row>
    <row r="33" spans="1:17" ht="16.7" customHeight="1">
      <c r="A33" s="809"/>
      <c r="B33" s="809"/>
      <c r="C33" s="809"/>
      <c r="D33" s="800"/>
      <c r="E33" s="800"/>
      <c r="F33" s="800"/>
      <c r="G33" s="800"/>
      <c r="H33" s="800"/>
      <c r="I33" s="800"/>
      <c r="J33" s="800"/>
      <c r="K33" s="800"/>
      <c r="L33" s="800"/>
      <c r="M33" s="800"/>
      <c r="N33" s="812"/>
      <c r="O33" s="812"/>
      <c r="P33" s="812"/>
      <c r="Q33" s="812"/>
    </row>
    <row r="34" spans="1:17" ht="16.7" customHeight="1">
      <c r="A34" s="809"/>
      <c r="B34" s="809"/>
      <c r="C34" s="809"/>
      <c r="D34" s="800"/>
      <c r="E34" s="800"/>
      <c r="F34" s="800"/>
      <c r="G34" s="800"/>
      <c r="H34" s="800"/>
      <c r="I34" s="800"/>
      <c r="J34" s="800"/>
      <c r="K34" s="800"/>
      <c r="L34" s="800"/>
      <c r="M34" s="800"/>
      <c r="N34" s="812"/>
      <c r="O34" s="812"/>
      <c r="P34" s="812"/>
      <c r="Q34" s="812"/>
    </row>
  </sheetData>
  <sheetProtection selectLockedCells="1"/>
  <mergeCells count="9">
    <mergeCell ref="L1:M1"/>
    <mergeCell ref="A10:C11"/>
    <mergeCell ref="E10:G11"/>
    <mergeCell ref="I10:K11"/>
    <mergeCell ref="E3:G4"/>
    <mergeCell ref="A3:C4"/>
    <mergeCell ref="E6:G7"/>
    <mergeCell ref="I6:K7"/>
    <mergeCell ref="L2:N4"/>
  </mergeCells>
  <hyperlinks>
    <hyperlink ref="A3" location="TW Enhancement" display="Two Wheeler Enhancement"/>
  </hyperlinks>
  <pageMargins left="0.78749999999999998" right="0.78749999999999998" top="1.0249999999999999" bottom="1.0249999999999999" header="0.78749999999999998" footer="0.78749999999999998"/>
  <pageSetup paperSize="9" scale="63" firstPageNumber="0" orientation="portrait" horizontalDpi="300" verticalDpi="300" r:id="rId1"/>
  <headerFooter alignWithMargins="0">
    <oddHeader>&amp;CDesigned By Prashanth Komarraju</oddHeader>
    <oddFooter>&amp;CPage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2"/>
  <sheetViews>
    <sheetView zoomScaleNormal="100" zoomScaleSheetLayoutView="51" workbookViewId="0">
      <pane ySplit="6" topLeftCell="A10" activePane="bottomLeft" state="frozen"/>
      <selection pane="bottomLeft" activeCell="D16" sqref="D16"/>
    </sheetView>
  </sheetViews>
  <sheetFormatPr defaultColWidth="9.42578125" defaultRowHeight="15"/>
  <cols>
    <col min="1" max="1" width="29.42578125" style="5" customWidth="1"/>
    <col min="2" max="2" width="24.7109375" style="5" customWidth="1"/>
    <col min="3" max="3" width="24" style="5" customWidth="1"/>
    <col min="4" max="4" width="16.28515625" style="5" customWidth="1"/>
    <col min="5" max="5" width="29.140625" style="5" customWidth="1"/>
    <col min="6" max="6" width="17.42578125" style="5" customWidth="1"/>
    <col min="7" max="7" width="5" style="5" customWidth="1"/>
    <col min="8" max="8" width="13.140625" style="5" customWidth="1"/>
    <col min="9" max="9" width="16.28515625" style="5" customWidth="1"/>
    <col min="10" max="10" width="24.42578125" style="5" customWidth="1"/>
    <col min="11" max="14" width="9.42578125" style="5"/>
    <col min="15" max="15" width="11.42578125" style="5" customWidth="1"/>
    <col min="16" max="16" width="11.28515625" style="5" customWidth="1"/>
    <col min="17" max="20" width="9.42578125" style="5"/>
    <col min="21" max="21" width="20" style="5" customWidth="1"/>
    <col min="22" max="16384" width="9.42578125" style="5"/>
  </cols>
  <sheetData>
    <row r="1" spans="1:9" s="7" customFormat="1" ht="30.95" customHeight="1">
      <c r="A1" s="1088"/>
      <c r="B1" s="1088"/>
      <c r="C1" s="1088"/>
      <c r="D1" s="1088"/>
      <c r="E1" s="1088"/>
      <c r="F1" s="1088"/>
      <c r="G1" s="161"/>
      <c r="H1" s="1089" t="s">
        <v>5</v>
      </c>
      <c r="I1" s="1089"/>
    </row>
    <row r="2" spans="1:9" ht="43.5" customHeight="1">
      <c r="A2" s="296" t="s">
        <v>6</v>
      </c>
      <c r="B2" s="110">
        <v>600000</v>
      </c>
      <c r="C2" s="272" t="s">
        <v>164</v>
      </c>
      <c r="D2" s="154">
        <v>1</v>
      </c>
      <c r="E2" s="273" t="s">
        <v>331</v>
      </c>
      <c r="F2" s="111">
        <v>0</v>
      </c>
      <c r="G2" s="112"/>
      <c r="H2" s="1009" t="s">
        <v>9</v>
      </c>
      <c r="I2" s="1009"/>
    </row>
    <row r="3" spans="1:9" ht="29.1" customHeight="1" thickBot="1">
      <c r="A3" s="297" t="s">
        <v>148</v>
      </c>
      <c r="B3" s="165" t="s">
        <v>213</v>
      </c>
      <c r="C3" s="299" t="s">
        <v>149</v>
      </c>
      <c r="D3" s="113">
        <v>70</v>
      </c>
      <c r="E3" s="280" t="s">
        <v>150</v>
      </c>
      <c r="F3" s="262" t="s">
        <v>50</v>
      </c>
      <c r="G3" s="112"/>
      <c r="H3" s="1006" t="s">
        <v>15</v>
      </c>
      <c r="I3" s="1006"/>
    </row>
    <row r="4" spans="1:9" ht="30.2" customHeight="1" thickBot="1">
      <c r="A4" s="289" t="s">
        <v>512</v>
      </c>
      <c r="B4" s="765" t="s">
        <v>1</v>
      </c>
      <c r="C4" s="300" t="s">
        <v>152</v>
      </c>
      <c r="D4" s="166" t="s">
        <v>14</v>
      </c>
      <c r="E4" s="281" t="s">
        <v>153</v>
      </c>
      <c r="F4" s="114">
        <v>1</v>
      </c>
      <c r="G4" s="112"/>
      <c r="H4" s="1006" t="s">
        <v>632</v>
      </c>
      <c r="I4" s="1006"/>
    </row>
    <row r="5" spans="1:9" ht="41.25" customHeight="1" thickBot="1">
      <c r="A5" s="298" t="s">
        <v>151</v>
      </c>
      <c r="B5" s="167" t="s">
        <v>17</v>
      </c>
      <c r="C5" s="393" t="s">
        <v>486</v>
      </c>
      <c r="D5" s="166" t="s">
        <v>50</v>
      </c>
      <c r="E5" s="366" t="s">
        <v>455</v>
      </c>
      <c r="F5" s="380">
        <v>0</v>
      </c>
      <c r="G5" s="112"/>
      <c r="H5" s="1006" t="s">
        <v>483</v>
      </c>
      <c r="I5" s="1006"/>
    </row>
    <row r="6" spans="1:9" ht="0.75" customHeight="1">
      <c r="A6" s="116"/>
      <c r="B6" s="116"/>
      <c r="C6" s="116"/>
      <c r="D6" s="116"/>
      <c r="G6" s="15"/>
      <c r="H6" s="878"/>
      <c r="I6" s="879"/>
    </row>
    <row r="7" spans="1:9" ht="20.25" customHeight="1">
      <c r="A7" s="288" t="s">
        <v>154</v>
      </c>
      <c r="B7" s="168">
        <v>25</v>
      </c>
      <c r="C7" s="760"/>
      <c r="D7" s="760"/>
      <c r="G7" s="740"/>
      <c r="H7" s="878"/>
      <c r="I7" s="879"/>
    </row>
    <row r="8" spans="1:9" ht="18.75" customHeight="1">
      <c r="A8" s="1090" t="s">
        <v>155</v>
      </c>
      <c r="B8" s="1091"/>
      <c r="C8" s="1092" t="s">
        <v>156</v>
      </c>
      <c r="D8" s="1092"/>
      <c r="E8" s="117"/>
      <c r="F8" s="117"/>
      <c r="G8" s="15"/>
      <c r="H8" s="15"/>
    </row>
    <row r="9" spans="1:9">
      <c r="A9" s="263" t="s">
        <v>23</v>
      </c>
      <c r="B9" s="518">
        <f>IF(OR(B4="GCV Public",B4="E-Cart Public"),N72,IF(OR(B4="GCV Private",B4="E-Cart Private"),O72,IF(OR(B4="E-Cart PCV",B4="PCV&lt;6"),M72,IF(B4="PCV 6 to 17",P72,IF(B4="PCV&gt;17",Q72,0)))))</f>
        <v>1.64</v>
      </c>
      <c r="C9" s="524" t="s">
        <v>158</v>
      </c>
      <c r="D9" s="525">
        <f>IF(B4="GCV Public",4092,IF(B4="E-Cart Public",2859,IF(B4="GCV Private",3914,IF(B4="E-Cart Private",3204,IF(B4="E-Cart PCV",1685,IF(B4="PCV&lt;6",2595,IF(B4="PCV 6 to 17",6913,IF(B4="PCV&gt;17",15845,0))))))))</f>
        <v>4092</v>
      </c>
      <c r="E9" s="28"/>
      <c r="F9" s="28"/>
      <c r="G9" s="15"/>
    </row>
    <row r="10" spans="1:9" ht="27">
      <c r="A10" s="264" t="s">
        <v>157</v>
      </c>
      <c r="B10" s="519">
        <f>$B$2*$B$9%</f>
        <v>9839.9999999999982</v>
      </c>
      <c r="C10" s="526" t="s">
        <v>160</v>
      </c>
      <c r="D10" s="525">
        <f>IF($F$3="yes",275,0)</f>
        <v>0</v>
      </c>
      <c r="E10" s="117"/>
      <c r="F10" s="117"/>
      <c r="G10" s="15"/>
    </row>
    <row r="11" spans="1:9" ht="29.25" customHeight="1">
      <c r="A11" s="265" t="s">
        <v>332</v>
      </c>
      <c r="B11" s="520">
        <f>$F$2*0.04*(1-D3%)</f>
        <v>0</v>
      </c>
      <c r="C11" s="526" t="s">
        <v>162</v>
      </c>
      <c r="D11" s="525">
        <f>$F$4*50</f>
        <v>50</v>
      </c>
      <c r="E11" s="121"/>
      <c r="F11" s="117"/>
      <c r="G11" s="15"/>
    </row>
    <row r="12" spans="1:9">
      <c r="A12" s="266" t="s">
        <v>30</v>
      </c>
      <c r="B12" s="519">
        <f>$D$3%*B10</f>
        <v>6887.9999999999982</v>
      </c>
      <c r="C12" s="526" t="s">
        <v>164</v>
      </c>
      <c r="D12" s="525">
        <f>IF(B4="PCV&lt;6",$D$2*1241,IF(B4="E-Cart PCV",D2*806,IF(B4="PCV 6 to 17",D2*1379,IF(B4="PCV&gt;17",969,0))))</f>
        <v>0</v>
      </c>
      <c r="E12" s="1093" t="s">
        <v>163</v>
      </c>
      <c r="F12" s="1094">
        <f>SUM($D$15:$D$16)</f>
        <v>8806.34</v>
      </c>
      <c r="G12" s="15"/>
    </row>
    <row r="13" spans="1:9">
      <c r="A13" s="266" t="s">
        <v>488</v>
      </c>
      <c r="B13" s="270">
        <f>B10+B11-B12</f>
        <v>2952</v>
      </c>
      <c r="C13" s="526" t="s">
        <v>487</v>
      </c>
      <c r="D13" s="527">
        <f>IF(B14=0,0,60)</f>
        <v>0</v>
      </c>
      <c r="E13" s="1093"/>
      <c r="F13" s="1094"/>
      <c r="G13" s="15"/>
    </row>
    <row r="14" spans="1:9" ht="30" customHeight="1">
      <c r="A14" s="482" t="s">
        <v>414</v>
      </c>
      <c r="B14" s="521">
        <f>IF(D5="Yes",B13*0.05,F5*0.04)</f>
        <v>0</v>
      </c>
      <c r="C14" s="528" t="s">
        <v>166</v>
      </c>
      <c r="D14" s="529">
        <f>SUM($D$9:$D$13)</f>
        <v>4142</v>
      </c>
      <c r="E14" s="123"/>
      <c r="F14" s="117"/>
      <c r="G14" s="15"/>
    </row>
    <row r="15" spans="1:9" ht="27.2" customHeight="1">
      <c r="A15" s="266" t="s">
        <v>167</v>
      </c>
      <c r="B15" s="522">
        <f>IF($D$4="yes",0.15*B10,0)</f>
        <v>1475.9999999999998</v>
      </c>
      <c r="C15" s="526" t="s">
        <v>33</v>
      </c>
      <c r="D15" s="525">
        <f>$D$14+$B$18</f>
        <v>7463</v>
      </c>
      <c r="E15" s="123"/>
      <c r="F15" s="86"/>
      <c r="G15" s="15"/>
    </row>
    <row r="16" spans="1:9">
      <c r="A16" s="263" t="s">
        <v>168</v>
      </c>
      <c r="B16" s="523">
        <f>B13+B14+B15</f>
        <v>4428</v>
      </c>
      <c r="C16" s="530" t="s">
        <v>169</v>
      </c>
      <c r="D16" s="531">
        <f>$D$15*'Motor Home Page'!N1%</f>
        <v>1343.34</v>
      </c>
      <c r="E16" s="86"/>
      <c r="F16" s="86"/>
      <c r="G16" s="15"/>
    </row>
    <row r="17" spans="1:7">
      <c r="A17" s="264" t="s">
        <v>12</v>
      </c>
      <c r="B17" s="519">
        <f>$B$7%*($B$16)</f>
        <v>1107</v>
      </c>
      <c r="E17" s="86"/>
      <c r="F17" s="86"/>
      <c r="G17" s="15"/>
    </row>
    <row r="18" spans="1:7">
      <c r="A18" s="267" t="s">
        <v>35</v>
      </c>
      <c r="B18" s="268">
        <f>$B$16-$B$17</f>
        <v>3321</v>
      </c>
      <c r="C18" s="269"/>
      <c r="D18" s="269"/>
      <c r="E18" s="86"/>
      <c r="F18" s="86"/>
      <c r="G18" s="15"/>
    </row>
    <row r="19" spans="1:7" ht="36.75" customHeight="1">
      <c r="E19" s="86"/>
      <c r="F19" s="86"/>
      <c r="G19" s="15"/>
    </row>
    <row r="20" spans="1:7" ht="49.5" customHeight="1">
      <c r="E20" s="86"/>
      <c r="F20" s="117"/>
      <c r="G20" s="15"/>
    </row>
    <row r="21" spans="1:7">
      <c r="A21" s="128"/>
      <c r="B21" s="86"/>
      <c r="C21" s="86"/>
      <c r="D21" s="86"/>
      <c r="E21" s="86"/>
      <c r="F21" s="86"/>
      <c r="G21" s="15"/>
    </row>
    <row r="22" spans="1:7" ht="23.25">
      <c r="A22" s="129"/>
      <c r="B22" s="130"/>
      <c r="C22" s="130"/>
      <c r="D22" s="130"/>
      <c r="E22" s="130"/>
      <c r="F22" s="86"/>
    </row>
    <row r="23" spans="1:7" ht="15.75">
      <c r="A23" s="131"/>
      <c r="B23" s="132"/>
      <c r="C23" s="132"/>
      <c r="D23" s="132"/>
      <c r="E23" s="132"/>
      <c r="F23" s="86"/>
      <c r="G23" s="15"/>
    </row>
    <row r="24" spans="1:7" ht="15.75">
      <c r="A24" s="133"/>
      <c r="B24" s="132"/>
      <c r="C24" s="132"/>
      <c r="D24" s="132"/>
      <c r="E24" s="132"/>
      <c r="F24" s="86"/>
      <c r="G24" s="15"/>
    </row>
    <row r="25" spans="1:7" ht="15.75">
      <c r="A25" s="131"/>
      <c r="B25" s="132"/>
      <c r="C25" s="132"/>
      <c r="D25" s="132"/>
      <c r="E25" s="132"/>
      <c r="F25" s="86"/>
      <c r="G25" s="15"/>
    </row>
    <row r="26" spans="1:7">
      <c r="A26" s="117"/>
      <c r="B26" s="117"/>
      <c r="C26" s="117"/>
      <c r="D26" s="86"/>
      <c r="E26" s="86"/>
      <c r="F26" s="117"/>
      <c r="G26" s="15"/>
    </row>
    <row r="27" spans="1:7" ht="23.25">
      <c r="A27" s="129"/>
      <c r="B27" s="132"/>
      <c r="C27" s="117"/>
      <c r="D27" s="86"/>
      <c r="E27" s="86"/>
      <c r="F27" s="117"/>
    </row>
    <row r="28" spans="1:7" ht="39.75" customHeight="1">
      <c r="A28" s="117"/>
      <c r="B28" s="134"/>
      <c r="C28" s="134"/>
      <c r="D28" s="134"/>
      <c r="E28" s="134"/>
      <c r="F28" s="117"/>
    </row>
    <row r="29" spans="1:7" ht="15.75">
      <c r="A29" s="131"/>
      <c r="B29" s="135"/>
      <c r="C29" s="130"/>
      <c r="D29" s="132"/>
      <c r="E29" s="132"/>
      <c r="F29" s="117"/>
    </row>
    <row r="30" spans="1:7" ht="15.4" customHeight="1">
      <c r="A30" s="133"/>
      <c r="B30" s="130"/>
      <c r="C30" s="130"/>
      <c r="D30" s="130"/>
      <c r="E30" s="130"/>
      <c r="F30" s="117"/>
      <c r="G30" s="136"/>
    </row>
    <row r="31" spans="1:7" ht="17.25" customHeight="1">
      <c r="A31" s="131"/>
      <c r="B31" s="132"/>
      <c r="C31" s="132"/>
      <c r="D31" s="132"/>
      <c r="E31" s="132"/>
      <c r="F31" s="86"/>
      <c r="G31" s="136"/>
    </row>
    <row r="32" spans="1:7">
      <c r="A32" s="86"/>
      <c r="B32" s="86"/>
      <c r="C32" s="86"/>
      <c r="D32" s="86"/>
      <c r="E32" s="86"/>
      <c r="F32" s="86"/>
      <c r="G32" s="136"/>
    </row>
    <row r="33" spans="1:7" ht="23.25">
      <c r="A33" s="129"/>
      <c r="B33" s="117"/>
      <c r="C33" s="117"/>
      <c r="D33" s="117"/>
      <c r="E33" s="117"/>
      <c r="F33" s="86"/>
      <c r="G33" s="136"/>
    </row>
    <row r="34" spans="1:7">
      <c r="A34" s="117"/>
      <c r="B34" s="134"/>
      <c r="C34" s="134"/>
      <c r="D34" s="134"/>
      <c r="E34" s="134"/>
      <c r="F34" s="86"/>
    </row>
    <row r="35" spans="1:7" ht="27.75" customHeight="1">
      <c r="A35" s="131"/>
      <c r="B35" s="130"/>
      <c r="C35" s="130"/>
      <c r="D35" s="130"/>
      <c r="E35" s="130"/>
      <c r="F35" s="86"/>
    </row>
    <row r="36" spans="1:7" ht="15.75">
      <c r="A36" s="133"/>
      <c r="B36" s="137"/>
      <c r="C36" s="137"/>
      <c r="D36" s="137"/>
      <c r="E36" s="130"/>
      <c r="F36" s="86"/>
    </row>
    <row r="37" spans="1:7" ht="15.75">
      <c r="A37" s="131"/>
      <c r="B37" s="137"/>
      <c r="C37" s="130"/>
      <c r="D37" s="130"/>
      <c r="E37" s="130"/>
      <c r="F37" s="86"/>
      <c r="G37" s="136"/>
    </row>
    <row r="38" spans="1:7" ht="15.75" customHeight="1">
      <c r="A38" s="133"/>
      <c r="B38" s="132"/>
      <c r="C38" s="132"/>
      <c r="D38" s="132"/>
      <c r="E38" s="86"/>
      <c r="F38" s="86"/>
      <c r="G38" s="136"/>
    </row>
    <row r="39" spans="1:7" ht="15.75">
      <c r="A39" s="131"/>
      <c r="B39" s="130"/>
      <c r="C39" s="130"/>
      <c r="D39" s="130"/>
      <c r="E39" s="86"/>
      <c r="F39" s="86"/>
      <c r="G39" s="136"/>
    </row>
    <row r="40" spans="1:7">
      <c r="A40" s="117"/>
      <c r="B40" s="132"/>
      <c r="C40" s="132"/>
      <c r="D40" s="132"/>
      <c r="E40" s="86"/>
      <c r="F40" s="86"/>
      <c r="G40" s="136"/>
    </row>
    <row r="41" spans="1:7" ht="36.75" customHeight="1">
      <c r="A41" s="138"/>
      <c r="B41" s="86"/>
      <c r="C41" s="123"/>
      <c r="D41" s="123"/>
      <c r="E41" s="86"/>
      <c r="F41" s="86"/>
    </row>
    <row r="42" spans="1:7" ht="22.5" customHeight="1">
      <c r="A42" s="117"/>
      <c r="B42" s="139"/>
      <c r="C42" s="139"/>
      <c r="D42" s="139"/>
      <c r="E42" s="86"/>
      <c r="F42" s="86"/>
    </row>
    <row r="43" spans="1:7" ht="18" customHeight="1">
      <c r="A43" s="131"/>
      <c r="B43" s="132"/>
      <c r="C43" s="132"/>
      <c r="D43" s="132"/>
      <c r="E43" s="86"/>
      <c r="F43" s="86"/>
    </row>
    <row r="44" spans="1:7" ht="2.25" customHeight="1">
      <c r="A44" s="133"/>
      <c r="B44" s="132"/>
      <c r="C44" s="132"/>
      <c r="D44" s="132"/>
      <c r="E44" s="86"/>
      <c r="F44" s="86"/>
    </row>
    <row r="45" spans="1:7" ht="15.75" hidden="1">
      <c r="A45" s="131"/>
      <c r="B45" s="132"/>
      <c r="C45" s="132"/>
      <c r="D45" s="132"/>
      <c r="E45" s="86"/>
      <c r="F45" s="86"/>
    </row>
    <row r="46" spans="1:7" ht="36.75" customHeight="1"/>
    <row r="51" spans="12:61">
      <c r="L51" s="712"/>
      <c r="M51" s="712"/>
      <c r="N51" s="712"/>
      <c r="O51" s="712"/>
      <c r="P51" s="712"/>
      <c r="Q51" s="712"/>
      <c r="R51" s="712"/>
      <c r="S51" s="712"/>
      <c r="T51" s="712"/>
      <c r="U51" s="712"/>
      <c r="V51" s="712"/>
      <c r="W51" s="712"/>
      <c r="X51" s="712"/>
      <c r="Y51" s="712"/>
      <c r="Z51" s="748"/>
      <c r="AA51" s="1087"/>
      <c r="AB51" s="1087"/>
      <c r="AC51" s="1095"/>
      <c r="AD51" s="741"/>
      <c r="AE51" s="1087"/>
      <c r="AF51" s="1087"/>
      <c r="AG51" s="1095"/>
      <c r="AH51" s="741"/>
      <c r="AI51" s="1087"/>
      <c r="AJ51" s="1087"/>
      <c r="AK51" s="1095"/>
      <c r="AL51" s="741"/>
      <c r="AM51" s="712"/>
      <c r="AN51" s="712"/>
      <c r="AO51" s="712"/>
      <c r="AP51" s="712"/>
      <c r="AQ51" s="712"/>
      <c r="AR51" s="712"/>
      <c r="AS51" s="712"/>
      <c r="AT51" s="49"/>
      <c r="AU51" s="49"/>
      <c r="AV51" s="49"/>
      <c r="AW51" s="49"/>
      <c r="AX51" s="49"/>
      <c r="AY51" s="49"/>
      <c r="AZ51" s="49"/>
      <c r="BA51" s="49"/>
      <c r="BB51" s="49"/>
      <c r="BC51" s="49"/>
      <c r="BD51" s="49"/>
      <c r="BE51" s="49"/>
      <c r="BF51" s="49"/>
      <c r="BG51" s="49"/>
      <c r="BH51" s="49"/>
      <c r="BI51" s="49"/>
    </row>
    <row r="52" spans="12:61">
      <c r="L52" s="712"/>
      <c r="M52" s="712"/>
      <c r="N52" s="712"/>
      <c r="O52" s="712"/>
      <c r="P52" s="712"/>
      <c r="Q52" s="712"/>
      <c r="R52" s="712"/>
      <c r="S52" s="712"/>
      <c r="T52" s="712"/>
      <c r="U52" s="712">
        <f>IF(B3="zone a",VLOOKUP(X52,T53:W56,2),IF(B3="zone b",VLOOKUP(X52,T53:W56,3),IF(B3="zone c",VLOOKUP(X52,T53:W56,4),0)))</f>
        <v>1.6560000000000001</v>
      </c>
      <c r="V52" s="712"/>
      <c r="W52" s="712"/>
      <c r="X52" s="712" t="str">
        <f>IF($B$5="&lt;5",$T$54,IF($B$5="5 to 7",$T$55,IF($B$5="&gt;7",$T$56,0)))</f>
        <v>&lt;5</v>
      </c>
      <c r="Y52" s="712"/>
      <c r="Z52" s="748"/>
      <c r="AA52" s="1087"/>
      <c r="AB52" s="1087"/>
      <c r="AC52" s="1095"/>
      <c r="AD52" s="741"/>
      <c r="AE52" s="1087"/>
      <c r="AF52" s="1087"/>
      <c r="AG52" s="1095"/>
      <c r="AH52" s="741"/>
      <c r="AI52" s="1087"/>
      <c r="AJ52" s="1087"/>
      <c r="AK52" s="1095"/>
      <c r="AL52" s="741"/>
      <c r="AM52" s="712"/>
      <c r="AN52" s="712"/>
      <c r="AO52" s="712"/>
      <c r="AP52" s="712"/>
      <c r="AQ52" s="712"/>
      <c r="AR52" s="712"/>
      <c r="AS52" s="712"/>
      <c r="AT52" s="49"/>
      <c r="AU52" s="49"/>
      <c r="AV52" s="49"/>
      <c r="AW52" s="49"/>
      <c r="AX52" s="49"/>
      <c r="AY52" s="49"/>
      <c r="AZ52" s="49"/>
      <c r="BA52" s="49"/>
      <c r="BB52" s="49"/>
      <c r="BC52" s="49"/>
      <c r="BD52" s="49"/>
      <c r="BE52" s="49"/>
      <c r="BF52" s="49"/>
      <c r="BG52" s="49"/>
      <c r="BH52" s="49"/>
      <c r="BI52" s="49"/>
    </row>
    <row r="53" spans="12:61">
      <c r="L53" s="712"/>
      <c r="M53" s="712"/>
      <c r="N53" s="712"/>
      <c r="O53" s="712"/>
      <c r="P53" s="712"/>
      <c r="Q53" s="712"/>
      <c r="R53" s="712"/>
      <c r="S53" s="712">
        <v>0</v>
      </c>
      <c r="T53" s="712"/>
      <c r="U53" s="712" t="s">
        <v>91</v>
      </c>
      <c r="V53" s="712" t="s">
        <v>146</v>
      </c>
      <c r="W53" s="712" t="s">
        <v>94</v>
      </c>
      <c r="X53" s="712"/>
      <c r="Y53" s="712"/>
      <c r="Z53" s="748"/>
      <c r="AA53" s="1087"/>
      <c r="AB53" s="1087"/>
      <c r="AC53" s="1095"/>
      <c r="AD53" s="742"/>
      <c r="AE53" s="1087"/>
      <c r="AF53" s="1087"/>
      <c r="AG53" s="1095"/>
      <c r="AH53" s="742"/>
      <c r="AI53" s="1087"/>
      <c r="AJ53" s="1087"/>
      <c r="AK53" s="1095"/>
      <c r="AL53" s="742"/>
      <c r="AM53" s="712"/>
      <c r="AN53" s="712"/>
      <c r="AO53" s="712"/>
      <c r="AP53" s="712"/>
      <c r="AQ53" s="712"/>
      <c r="AR53" s="712"/>
      <c r="AS53" s="712"/>
      <c r="AT53" s="49"/>
      <c r="AU53" s="49"/>
      <c r="AV53" s="49"/>
      <c r="AW53" s="49"/>
      <c r="AX53" s="49"/>
      <c r="AY53" s="49"/>
      <c r="AZ53" s="49"/>
      <c r="BA53" s="49"/>
      <c r="BB53" s="49"/>
      <c r="BC53" s="49"/>
      <c r="BD53" s="49"/>
      <c r="BE53" s="49"/>
      <c r="BF53" s="49"/>
      <c r="BG53" s="49"/>
      <c r="BH53" s="49"/>
      <c r="BI53" s="49"/>
    </row>
    <row r="54" spans="12:61" ht="15.75">
      <c r="L54" s="712"/>
      <c r="M54" s="712"/>
      <c r="N54" s="712"/>
      <c r="O54" s="712"/>
      <c r="P54" s="712"/>
      <c r="Q54" s="712"/>
      <c r="R54" s="712"/>
      <c r="S54" s="712">
        <v>20</v>
      </c>
      <c r="T54" s="712" t="s">
        <v>17</v>
      </c>
      <c r="U54" s="712">
        <v>1.6800000000000002</v>
      </c>
      <c r="V54" s="712">
        <v>1.6720000000000002</v>
      </c>
      <c r="W54" s="712">
        <v>1.6560000000000001</v>
      </c>
      <c r="X54" s="712"/>
      <c r="Y54" s="712"/>
      <c r="Z54" s="744"/>
      <c r="AA54" s="1087"/>
      <c r="AB54" s="1087"/>
      <c r="AC54" s="1095"/>
      <c r="AD54" s="742"/>
      <c r="AE54" s="1087"/>
      <c r="AF54" s="1087"/>
      <c r="AG54" s="1095"/>
      <c r="AH54" s="742"/>
      <c r="AI54" s="1087"/>
      <c r="AJ54" s="1087"/>
      <c r="AK54" s="1095"/>
      <c r="AL54" s="742"/>
      <c r="AM54" s="712"/>
      <c r="AN54" s="712"/>
      <c r="AO54" s="712"/>
      <c r="AP54" s="712"/>
      <c r="AQ54" s="712"/>
      <c r="AR54" s="712"/>
      <c r="AS54" s="712"/>
      <c r="AT54" s="49"/>
      <c r="AU54" s="49"/>
      <c r="AV54" s="49"/>
      <c r="AW54" s="49"/>
      <c r="AX54" s="49"/>
      <c r="AY54" s="49"/>
      <c r="AZ54" s="49"/>
      <c r="BA54" s="49"/>
      <c r="BB54" s="49"/>
      <c r="BC54" s="49"/>
      <c r="BD54" s="49"/>
      <c r="BE54" s="49"/>
      <c r="BF54" s="49"/>
      <c r="BG54" s="49"/>
      <c r="BH54" s="49"/>
      <c r="BI54" s="49"/>
    </row>
    <row r="55" spans="12:61">
      <c r="L55" s="712"/>
      <c r="M55" s="712"/>
      <c r="N55" s="712"/>
      <c r="O55" s="712"/>
      <c r="P55" s="712"/>
      <c r="Q55" s="712" t="s">
        <v>46</v>
      </c>
      <c r="R55" s="712"/>
      <c r="S55" s="712">
        <v>25</v>
      </c>
      <c r="T55" s="712" t="s">
        <v>170</v>
      </c>
      <c r="U55" s="712">
        <v>1.722</v>
      </c>
      <c r="V55" s="712">
        <v>1.714</v>
      </c>
      <c r="W55" s="712">
        <v>1.6970000000000001</v>
      </c>
      <c r="X55" s="712"/>
      <c r="Y55" s="712"/>
      <c r="Z55" s="748"/>
      <c r="AA55" s="1087"/>
      <c r="AB55" s="1087"/>
      <c r="AC55" s="1095"/>
      <c r="AD55" s="741"/>
      <c r="AE55" s="1087"/>
      <c r="AF55" s="1087"/>
      <c r="AG55" s="1095"/>
      <c r="AH55" s="741"/>
      <c r="AI55" s="1087"/>
      <c r="AJ55" s="1087"/>
      <c r="AK55" s="1095"/>
      <c r="AL55" s="741"/>
      <c r="AM55" s="712"/>
      <c r="AN55" s="712"/>
      <c r="AO55" s="712"/>
      <c r="AP55" s="712"/>
      <c r="AQ55" s="712"/>
      <c r="AR55" s="712"/>
      <c r="AS55" s="712"/>
      <c r="AT55" s="49"/>
      <c r="AU55" s="49"/>
      <c r="AV55" s="49"/>
      <c r="AW55" s="49"/>
      <c r="AX55" s="49"/>
      <c r="AY55" s="49"/>
      <c r="AZ55" s="49"/>
      <c r="BA55" s="49"/>
      <c r="BB55" s="49"/>
      <c r="BC55" s="49"/>
      <c r="BD55" s="49"/>
      <c r="BE55" s="49"/>
      <c r="BF55" s="49"/>
      <c r="BG55" s="49"/>
      <c r="BH55" s="49"/>
      <c r="BI55" s="49"/>
    </row>
    <row r="56" spans="12:61" ht="22.5" customHeight="1">
      <c r="L56" s="712"/>
      <c r="M56" s="712"/>
      <c r="N56" s="712"/>
      <c r="O56" s="712"/>
      <c r="P56" s="712"/>
      <c r="Q56" s="712" t="s">
        <v>11</v>
      </c>
      <c r="R56" s="712"/>
      <c r="S56" s="712">
        <v>35</v>
      </c>
      <c r="T56" s="712">
        <v>7.1</v>
      </c>
      <c r="U56" s="712">
        <v>1.764</v>
      </c>
      <c r="V56" s="712">
        <v>1.756</v>
      </c>
      <c r="W56" s="712">
        <v>1.7389999999999999</v>
      </c>
      <c r="X56" s="712"/>
      <c r="Y56" s="712"/>
      <c r="Z56" s="748"/>
      <c r="AA56" s="1087"/>
      <c r="AB56" s="1087"/>
      <c r="AC56" s="1095"/>
      <c r="AD56" s="741"/>
      <c r="AE56" s="1087"/>
      <c r="AF56" s="1087"/>
      <c r="AG56" s="1095"/>
      <c r="AH56" s="741"/>
      <c r="AI56" s="1087"/>
      <c r="AJ56" s="1087"/>
      <c r="AK56" s="1095"/>
      <c r="AL56" s="741"/>
      <c r="AM56" s="712"/>
      <c r="AN56" s="712"/>
      <c r="AO56" s="712"/>
      <c r="AP56" s="712"/>
      <c r="AQ56" s="712"/>
      <c r="AR56" s="712"/>
      <c r="AS56" s="712"/>
      <c r="AT56" s="49"/>
      <c r="AU56" s="49"/>
      <c r="AV56" s="49"/>
      <c r="AW56" s="49"/>
      <c r="AX56" s="49"/>
      <c r="AY56" s="49"/>
      <c r="AZ56" s="49"/>
      <c r="BA56" s="49"/>
      <c r="BB56" s="49"/>
      <c r="BC56" s="49"/>
      <c r="BD56" s="49"/>
      <c r="BE56" s="49"/>
      <c r="BF56" s="49"/>
      <c r="BG56" s="49"/>
      <c r="BH56" s="49"/>
      <c r="BI56" s="49"/>
    </row>
    <row r="57" spans="12:61">
      <c r="L57" s="712"/>
      <c r="M57" s="712"/>
      <c r="N57" s="712"/>
      <c r="O57" s="712"/>
      <c r="P57" s="712"/>
      <c r="Q57" s="712" t="s">
        <v>213</v>
      </c>
      <c r="R57" s="712"/>
      <c r="S57" s="712">
        <v>45</v>
      </c>
      <c r="T57" s="712"/>
      <c r="U57" s="712"/>
      <c r="V57" s="712"/>
      <c r="W57" s="712"/>
      <c r="X57" s="712"/>
      <c r="Y57" s="712"/>
      <c r="Z57" s="748"/>
      <c r="AA57" s="1087"/>
      <c r="AB57" s="1087"/>
      <c r="AC57" s="1095"/>
      <c r="AD57" s="741"/>
      <c r="AE57" s="1087"/>
      <c r="AF57" s="1087"/>
      <c r="AG57" s="1095"/>
      <c r="AH57" s="741"/>
      <c r="AI57" s="1087"/>
      <c r="AJ57" s="1087"/>
      <c r="AK57" s="1095"/>
      <c r="AL57" s="741"/>
      <c r="AM57" s="712"/>
      <c r="AN57" s="712"/>
      <c r="AO57" s="712"/>
      <c r="AP57" s="712"/>
      <c r="AQ57" s="712"/>
      <c r="AR57" s="712"/>
      <c r="AS57" s="712"/>
      <c r="AT57" s="49"/>
      <c r="AU57" s="49"/>
      <c r="AV57" s="49"/>
      <c r="AW57" s="49"/>
      <c r="AX57" s="49"/>
      <c r="AY57" s="49"/>
      <c r="AZ57" s="49"/>
      <c r="BA57" s="49"/>
      <c r="BB57" s="49"/>
      <c r="BC57" s="49"/>
      <c r="BD57" s="49"/>
      <c r="BE57" s="49"/>
      <c r="BF57" s="49"/>
      <c r="BG57" s="49"/>
      <c r="BH57" s="49"/>
      <c r="BI57" s="49"/>
    </row>
    <row r="58" spans="12:61" ht="36.75" customHeight="1">
      <c r="L58" s="712"/>
      <c r="M58" s="712"/>
      <c r="N58" s="712"/>
      <c r="O58" s="712"/>
      <c r="P58" s="712"/>
      <c r="Q58" s="712"/>
      <c r="R58" s="712"/>
      <c r="S58" s="712">
        <v>50</v>
      </c>
      <c r="T58" s="712"/>
      <c r="U58" s="712"/>
      <c r="V58" s="712"/>
      <c r="W58" s="712"/>
      <c r="X58" s="712"/>
      <c r="Y58" s="712"/>
      <c r="Z58" s="748"/>
      <c r="AA58" s="1087"/>
      <c r="AB58" s="1087"/>
      <c r="AC58" s="1095"/>
      <c r="AD58" s="741"/>
      <c r="AE58" s="1087"/>
      <c r="AF58" s="1087"/>
      <c r="AG58" s="1095"/>
      <c r="AH58" s="741"/>
      <c r="AI58" s="1087"/>
      <c r="AJ58" s="1087"/>
      <c r="AK58" s="1095"/>
      <c r="AL58" s="741"/>
      <c r="AM58" s="712"/>
      <c r="AN58" s="712"/>
      <c r="AO58" s="712"/>
      <c r="AP58" s="712"/>
      <c r="AQ58" s="712"/>
      <c r="AR58" s="712"/>
      <c r="AS58" s="712"/>
      <c r="AT58" s="49"/>
      <c r="AU58" s="49"/>
      <c r="AV58" s="49"/>
      <c r="AW58" s="49"/>
      <c r="AX58" s="49"/>
      <c r="AY58" s="49"/>
      <c r="AZ58" s="49"/>
      <c r="BA58" s="49"/>
      <c r="BB58" s="49"/>
      <c r="BC58" s="49"/>
      <c r="BD58" s="49"/>
      <c r="BE58" s="49"/>
      <c r="BF58" s="49"/>
      <c r="BG58" s="49"/>
      <c r="BH58" s="49"/>
      <c r="BI58" s="49"/>
    </row>
    <row r="59" spans="12:61">
      <c r="L59" s="712"/>
      <c r="M59" s="712"/>
      <c r="N59" s="712"/>
      <c r="O59" s="712"/>
      <c r="P59" s="712"/>
      <c r="Q59" s="712"/>
      <c r="R59" s="712"/>
      <c r="S59" s="712"/>
      <c r="T59" s="712"/>
      <c r="U59" s="712"/>
      <c r="V59" s="712"/>
      <c r="W59" s="712"/>
      <c r="X59" s="712"/>
      <c r="Y59" s="712"/>
      <c r="Z59" s="748"/>
      <c r="AA59" s="1087"/>
      <c r="AB59" s="1087"/>
      <c r="AC59" s="1095"/>
      <c r="AD59" s="742"/>
      <c r="AE59" s="1087"/>
      <c r="AF59" s="1087"/>
      <c r="AG59" s="1095"/>
      <c r="AH59" s="742"/>
      <c r="AI59" s="1087"/>
      <c r="AJ59" s="1087"/>
      <c r="AK59" s="1095"/>
      <c r="AL59" s="742"/>
      <c r="AM59" s="712"/>
      <c r="AN59" s="712"/>
      <c r="AO59" s="712"/>
      <c r="AP59" s="712"/>
      <c r="AQ59" s="712"/>
      <c r="AR59" s="712"/>
      <c r="AS59" s="712"/>
      <c r="AT59" s="49"/>
      <c r="AU59" s="49"/>
      <c r="AV59" s="49"/>
      <c r="AW59" s="49"/>
      <c r="AX59" s="49"/>
      <c r="AY59" s="49"/>
      <c r="AZ59" s="49"/>
      <c r="BA59" s="49"/>
      <c r="BB59" s="49"/>
      <c r="BC59" s="49"/>
      <c r="BD59" s="49"/>
      <c r="BE59" s="49"/>
      <c r="BF59" s="49"/>
      <c r="BG59" s="49"/>
      <c r="BH59" s="49"/>
      <c r="BI59" s="49"/>
    </row>
    <row r="60" spans="12:61" ht="15.75">
      <c r="L60" s="712"/>
      <c r="M60" s="712"/>
      <c r="N60" s="712" t="s">
        <v>171</v>
      </c>
      <c r="O60" s="749" t="s">
        <v>172</v>
      </c>
      <c r="P60" s="749" t="s">
        <v>173</v>
      </c>
      <c r="Q60" s="749" t="s">
        <v>174</v>
      </c>
      <c r="R60" s="750"/>
      <c r="S60" s="712"/>
      <c r="T60" s="1096"/>
      <c r="U60" s="1096"/>
      <c r="V60" s="1096"/>
      <c r="W60" s="1096"/>
      <c r="X60" s="712"/>
      <c r="Y60" s="712"/>
      <c r="Z60" s="746"/>
      <c r="AA60" s="1087"/>
      <c r="AB60" s="1087"/>
      <c r="AC60" s="1095"/>
      <c r="AD60" s="742"/>
      <c r="AE60" s="1087"/>
      <c r="AF60" s="1087"/>
      <c r="AG60" s="1095"/>
      <c r="AH60" s="742"/>
      <c r="AI60" s="1087"/>
      <c r="AJ60" s="1087"/>
      <c r="AK60" s="1095"/>
      <c r="AL60" s="742"/>
      <c r="AM60" s="712"/>
      <c r="AN60" s="712"/>
      <c r="AO60" s="712"/>
      <c r="AP60" s="712"/>
      <c r="AQ60" s="712"/>
      <c r="AR60" s="712"/>
      <c r="AS60" s="712"/>
      <c r="AT60" s="49"/>
      <c r="AU60" s="49"/>
      <c r="AV60" s="49"/>
      <c r="AW60" s="49"/>
      <c r="AX60" s="49"/>
      <c r="AY60" s="49"/>
      <c r="AZ60" s="49"/>
      <c r="BA60" s="49"/>
      <c r="BB60" s="49"/>
      <c r="BC60" s="49"/>
      <c r="BD60" s="49"/>
      <c r="BE60" s="49"/>
      <c r="BF60" s="49"/>
      <c r="BG60" s="49"/>
      <c r="BH60" s="49"/>
      <c r="BI60" s="49"/>
    </row>
    <row r="61" spans="12:61" ht="20.25" customHeight="1">
      <c r="L61" s="712"/>
      <c r="M61" s="712" t="s">
        <v>17</v>
      </c>
      <c r="N61" s="712" t="s">
        <v>14</v>
      </c>
      <c r="O61" s="712" t="str">
        <f>IF($B$5="&lt;5",$T$54,IF($B$5="5 to 7",$T$55,IF($B$5="&gt;7",$T$56,0)))</f>
        <v>&lt;5</v>
      </c>
      <c r="P61" s="712" t="s">
        <v>46</v>
      </c>
      <c r="Q61" s="712" t="e">
        <f>IF("#REF!=""&lt;1000"",$U$60,IF(#REF!=""1000-1500"",$V$60,IF(#REF!=""&gt;1500"",$W$60,0)))",TRUE)</f>
        <v>#VALUE!</v>
      </c>
      <c r="R61" s="712"/>
      <c r="S61" s="712"/>
      <c r="T61" s="752"/>
      <c r="U61" s="753"/>
      <c r="V61" s="753"/>
      <c r="W61" s="753"/>
      <c r="X61" s="712"/>
      <c r="Y61" s="712"/>
      <c r="Z61" s="747"/>
      <c r="AA61" s="747"/>
      <c r="AB61" s="747"/>
      <c r="AC61" s="747"/>
      <c r="AD61" s="747"/>
      <c r="AE61" s="747"/>
      <c r="AF61" s="747"/>
      <c r="AG61" s="712"/>
      <c r="AH61" s="712"/>
      <c r="AI61" s="712"/>
      <c r="AJ61" s="712"/>
      <c r="AK61" s="712"/>
      <c r="AL61" s="712"/>
      <c r="AM61" s="712"/>
      <c r="AN61" s="712"/>
      <c r="AO61" s="712"/>
      <c r="AP61" s="712"/>
      <c r="AQ61" s="712"/>
      <c r="AR61" s="712"/>
      <c r="AS61" s="712"/>
      <c r="AT61" s="49"/>
      <c r="AU61" s="49"/>
      <c r="AV61" s="49"/>
      <c r="AW61" s="49"/>
      <c r="AX61" s="49"/>
      <c r="AY61" s="49"/>
      <c r="AZ61" s="49"/>
      <c r="BA61" s="49"/>
      <c r="BB61" s="49"/>
      <c r="BC61" s="49"/>
      <c r="BD61" s="49"/>
      <c r="BE61" s="49"/>
      <c r="BF61" s="49"/>
      <c r="BG61" s="49"/>
      <c r="BH61" s="49"/>
      <c r="BI61" s="49"/>
    </row>
    <row r="62" spans="12:61">
      <c r="L62" s="712"/>
      <c r="M62" s="712" t="s">
        <v>170</v>
      </c>
      <c r="N62" s="712" t="s">
        <v>50</v>
      </c>
      <c r="O62" s="712"/>
      <c r="P62" s="712" t="s">
        <v>11</v>
      </c>
      <c r="Q62" s="712"/>
      <c r="R62" s="712"/>
      <c r="S62" s="712"/>
      <c r="T62" s="714" t="s">
        <v>17</v>
      </c>
      <c r="U62" s="714"/>
      <c r="V62" s="714"/>
      <c r="W62" s="714"/>
      <c r="X62" s="712"/>
      <c r="Y62" s="712"/>
      <c r="Z62" s="747"/>
      <c r="AA62" s="747"/>
      <c r="AB62" s="747"/>
      <c r="AC62" s="747"/>
      <c r="AD62" s="747"/>
      <c r="AE62" s="747"/>
      <c r="AF62" s="747"/>
      <c r="AG62" s="712"/>
      <c r="AH62" s="712"/>
      <c r="AI62" s="712"/>
      <c r="AJ62" s="712"/>
      <c r="AK62" s="712"/>
      <c r="AL62" s="712"/>
      <c r="AM62" s="712"/>
      <c r="AN62" s="712"/>
      <c r="AO62" s="712"/>
      <c r="AP62" s="712"/>
      <c r="AQ62" s="712"/>
      <c r="AR62" s="712"/>
      <c r="AS62" s="712"/>
      <c r="AT62" s="49"/>
      <c r="AU62" s="49"/>
      <c r="AV62" s="49"/>
      <c r="AW62" s="49"/>
      <c r="AX62" s="49"/>
      <c r="AY62" s="49"/>
      <c r="AZ62" s="49"/>
      <c r="BA62" s="49"/>
      <c r="BB62" s="49"/>
      <c r="BC62" s="49"/>
      <c r="BD62" s="49"/>
      <c r="BE62" s="49"/>
      <c r="BF62" s="49"/>
      <c r="BG62" s="49"/>
      <c r="BH62" s="49"/>
      <c r="BI62" s="49"/>
    </row>
    <row r="63" spans="12:61">
      <c r="L63" s="712"/>
      <c r="M63" s="712" t="s">
        <v>195</v>
      </c>
      <c r="N63" s="712"/>
      <c r="Q63" s="712"/>
      <c r="R63" s="712"/>
      <c r="S63" s="712"/>
      <c r="T63" s="714" t="s">
        <v>170</v>
      </c>
      <c r="U63" s="714"/>
      <c r="V63" s="714"/>
      <c r="W63" s="714"/>
      <c r="X63" s="712"/>
      <c r="Y63" s="712"/>
      <c r="Z63" s="747"/>
      <c r="AA63" s="747"/>
      <c r="AB63" s="747"/>
      <c r="AC63" s="747"/>
      <c r="AD63" s="747"/>
      <c r="AE63" s="747"/>
      <c r="AF63" s="747"/>
      <c r="AG63" s="712"/>
      <c r="AH63" s="712"/>
      <c r="AI63" s="712"/>
      <c r="AJ63" s="712"/>
      <c r="AK63" s="712"/>
      <c r="AL63" s="712"/>
      <c r="AM63" s="712"/>
      <c r="AN63" s="712"/>
      <c r="AO63" s="712"/>
      <c r="AP63" s="712"/>
      <c r="AQ63" s="712"/>
      <c r="AR63" s="712"/>
      <c r="AS63" s="712"/>
      <c r="AT63" s="49"/>
      <c r="AU63" s="49"/>
      <c r="AV63" s="49"/>
      <c r="AW63" s="49"/>
      <c r="AX63" s="49"/>
      <c r="AY63" s="49"/>
      <c r="AZ63" s="49"/>
      <c r="BA63" s="49"/>
      <c r="BB63" s="49"/>
      <c r="BC63" s="49"/>
      <c r="BD63" s="49"/>
      <c r="BE63" s="49"/>
      <c r="BF63" s="49"/>
      <c r="BG63" s="49"/>
      <c r="BH63" s="49"/>
      <c r="BI63" s="49"/>
    </row>
    <row r="64" spans="12:61">
      <c r="L64" s="712"/>
      <c r="M64" s="712"/>
      <c r="N64" s="712"/>
      <c r="Q64" s="712"/>
      <c r="R64" s="712"/>
      <c r="S64" s="712"/>
      <c r="T64" s="714">
        <v>7.1</v>
      </c>
      <c r="U64" s="714"/>
      <c r="V64" s="714"/>
      <c r="W64" s="714"/>
      <c r="X64" s="712"/>
      <c r="Y64" s="712"/>
      <c r="Z64" s="712"/>
      <c r="AA64" s="712"/>
      <c r="AB64" s="712"/>
      <c r="AC64" s="712"/>
      <c r="AD64" s="712"/>
      <c r="AE64" s="712"/>
      <c r="AF64" s="712"/>
      <c r="AG64" s="712"/>
      <c r="AH64" s="712"/>
      <c r="AI64" s="712"/>
      <c r="AJ64" s="712"/>
      <c r="AK64" s="712"/>
      <c r="AL64" s="712"/>
      <c r="AM64" s="712"/>
      <c r="AN64" s="712"/>
      <c r="AO64" s="712"/>
      <c r="AP64" s="712"/>
      <c r="AQ64" s="712"/>
      <c r="AR64" s="712"/>
      <c r="AS64" s="712"/>
      <c r="AT64" s="49"/>
      <c r="AU64" s="49"/>
      <c r="AV64" s="49"/>
      <c r="AW64" s="49"/>
      <c r="AX64" s="49"/>
      <c r="AY64" s="49"/>
      <c r="AZ64" s="49"/>
      <c r="BA64" s="49"/>
      <c r="BB64" s="49"/>
      <c r="BC64" s="49"/>
      <c r="BD64" s="49"/>
      <c r="BE64" s="49"/>
      <c r="BF64" s="49"/>
      <c r="BG64" s="49"/>
      <c r="BH64" s="49"/>
      <c r="BI64" s="49"/>
    </row>
    <row r="65" spans="1:61">
      <c r="L65" s="712"/>
      <c r="M65" s="712"/>
      <c r="N65" s="712"/>
      <c r="Q65" s="712"/>
      <c r="R65" s="712" t="s">
        <v>91</v>
      </c>
      <c r="S65" s="712"/>
      <c r="T65" s="712"/>
      <c r="U65" s="712"/>
      <c r="V65" s="712"/>
      <c r="W65" s="1085" t="s">
        <v>580</v>
      </c>
      <c r="X65" s="1085"/>
      <c r="Y65" s="1085"/>
      <c r="Z65" s="1085" t="s">
        <v>579</v>
      </c>
      <c r="AA65" s="1085"/>
      <c r="AB65" s="1085"/>
      <c r="AC65" s="1085" t="s">
        <v>2</v>
      </c>
      <c r="AD65" s="1085"/>
      <c r="AE65" s="1085"/>
      <c r="AF65" s="1085" t="s">
        <v>1</v>
      </c>
      <c r="AG65" s="1085"/>
      <c r="AH65" s="1085"/>
      <c r="AI65" s="1085" t="s">
        <v>578</v>
      </c>
      <c r="AJ65" s="1085"/>
      <c r="AK65" s="1085"/>
      <c r="AL65" s="712"/>
      <c r="AM65" s="712"/>
      <c r="AN65" s="712"/>
      <c r="AO65" s="712"/>
      <c r="AP65" s="712"/>
      <c r="AQ65" s="712"/>
      <c r="AR65" s="712"/>
      <c r="AS65" s="712"/>
      <c r="AT65" s="49"/>
      <c r="AU65" s="49"/>
      <c r="AV65" s="49"/>
      <c r="AW65" s="49"/>
      <c r="AX65" s="49"/>
      <c r="AY65" s="49"/>
      <c r="AZ65" s="49"/>
      <c r="BA65" s="49"/>
      <c r="BB65" s="49"/>
      <c r="BC65" s="49"/>
      <c r="BD65" s="49"/>
      <c r="BE65" s="49"/>
      <c r="BF65" s="49"/>
      <c r="BG65" s="49"/>
      <c r="BH65" s="49"/>
      <c r="BI65" s="49"/>
    </row>
    <row r="66" spans="1:61" ht="12.95" customHeight="1">
      <c r="L66" s="712"/>
      <c r="M66" s="712"/>
      <c r="N66" s="712"/>
      <c r="Q66" s="712"/>
      <c r="R66" s="712" t="s">
        <v>146</v>
      </c>
      <c r="S66" s="712"/>
      <c r="T66" s="751"/>
      <c r="U66" s="751"/>
      <c r="V66" s="751"/>
      <c r="W66" s="1086" t="s">
        <v>213</v>
      </c>
      <c r="X66" s="1086" t="s">
        <v>11</v>
      </c>
      <c r="Y66" s="1086" t="s">
        <v>46</v>
      </c>
      <c r="Z66" s="1086" t="s">
        <v>213</v>
      </c>
      <c r="AA66" s="1086" t="s">
        <v>11</v>
      </c>
      <c r="AB66" s="1086" t="s">
        <v>46</v>
      </c>
      <c r="AC66" s="1086" t="s">
        <v>298</v>
      </c>
      <c r="AD66" s="1086" t="s">
        <v>299</v>
      </c>
      <c r="AE66" s="1086" t="s">
        <v>279</v>
      </c>
      <c r="AF66" s="756" t="s">
        <v>298</v>
      </c>
      <c r="AG66" s="756" t="s">
        <v>299</v>
      </c>
      <c r="AH66" s="756" t="s">
        <v>279</v>
      </c>
      <c r="AI66" s="1086" t="s">
        <v>213</v>
      </c>
      <c r="AJ66" s="1086" t="s">
        <v>11</v>
      </c>
      <c r="AK66" s="1086" t="s">
        <v>46</v>
      </c>
      <c r="AL66" s="712"/>
      <c r="AM66" s="712"/>
      <c r="AN66" s="712"/>
      <c r="AO66" s="712"/>
      <c r="AP66" s="712"/>
      <c r="AQ66" s="712"/>
      <c r="AR66" s="712"/>
      <c r="AS66" s="712"/>
      <c r="AT66" s="49"/>
      <c r="AU66" s="49"/>
      <c r="AV66" s="49"/>
      <c r="AW66" s="49"/>
      <c r="AX66" s="49"/>
      <c r="AY66" s="49"/>
      <c r="AZ66" s="49"/>
      <c r="BA66" s="49"/>
      <c r="BB66" s="49"/>
      <c r="BC66" s="49"/>
      <c r="BD66" s="49"/>
      <c r="BE66" s="49"/>
      <c r="BF66" s="49"/>
      <c r="BG66" s="49"/>
      <c r="BH66" s="49"/>
      <c r="BI66" s="49"/>
    </row>
    <row r="67" spans="1:61" ht="15" customHeight="1">
      <c r="L67" s="712"/>
      <c r="M67" s="712"/>
      <c r="N67" s="712"/>
      <c r="O67" s="712"/>
      <c r="P67" s="712"/>
      <c r="Q67" s="712"/>
      <c r="R67" s="712" t="s">
        <v>94</v>
      </c>
      <c r="S67" s="712"/>
      <c r="T67" s="712"/>
      <c r="U67" s="754" t="s">
        <v>97</v>
      </c>
      <c r="V67" s="712"/>
      <c r="W67" s="1086"/>
      <c r="X67" s="1086"/>
      <c r="Y67" s="1086"/>
      <c r="Z67" s="1086"/>
      <c r="AA67" s="1086"/>
      <c r="AB67" s="1086"/>
      <c r="AC67" s="1086"/>
      <c r="AD67" s="1086"/>
      <c r="AE67" s="1086"/>
      <c r="AF67" s="756"/>
      <c r="AG67" s="756"/>
      <c r="AH67" s="756"/>
      <c r="AI67" s="1086"/>
      <c r="AJ67" s="1086"/>
      <c r="AK67" s="1086"/>
      <c r="AL67" s="712"/>
      <c r="AM67" s="712"/>
      <c r="AN67" s="712"/>
      <c r="AO67" s="712"/>
      <c r="AP67" s="712"/>
      <c r="AQ67" s="712"/>
      <c r="AR67" s="712"/>
      <c r="AS67" s="712"/>
      <c r="AT67" s="49"/>
      <c r="AU67" s="49"/>
      <c r="AV67" s="49"/>
      <c r="AW67" s="49"/>
      <c r="AX67" s="49"/>
      <c r="AY67" s="49"/>
      <c r="AZ67" s="49"/>
      <c r="BA67" s="49"/>
      <c r="BB67" s="49"/>
      <c r="BC67" s="49"/>
      <c r="BD67" s="49"/>
      <c r="BE67" s="49"/>
      <c r="BF67" s="49"/>
      <c r="BG67" s="49"/>
      <c r="BH67" s="49"/>
      <c r="BI67" s="49"/>
    </row>
    <row r="68" spans="1:61" ht="31.5">
      <c r="L68" s="749" t="s">
        <v>38</v>
      </c>
      <c r="M68" s="712" t="s">
        <v>581</v>
      </c>
      <c r="N68" s="712" t="s">
        <v>1</v>
      </c>
      <c r="O68" s="712" t="s">
        <v>2</v>
      </c>
      <c r="P68" s="712" t="s">
        <v>579</v>
      </c>
      <c r="Q68" s="712" t="s">
        <v>580</v>
      </c>
      <c r="R68" s="712"/>
      <c r="S68" s="712"/>
      <c r="T68" s="752"/>
      <c r="U68" s="745" t="s">
        <v>64</v>
      </c>
      <c r="V68" s="753"/>
      <c r="W68" s="759">
        <v>1.6560000000000001</v>
      </c>
      <c r="X68" s="759">
        <v>1.6720000000000002</v>
      </c>
      <c r="Y68" s="759">
        <v>1.6800000000000002</v>
      </c>
      <c r="Z68" s="758">
        <v>1.7589999999999999</v>
      </c>
      <c r="AA68" s="758">
        <v>1.7770000000000001</v>
      </c>
      <c r="AB68" s="758">
        <v>1.7850000000000001</v>
      </c>
      <c r="AC68" s="755">
        <v>1.1479999999999999</v>
      </c>
      <c r="AD68" s="755">
        <v>1.159</v>
      </c>
      <c r="AE68" s="755">
        <v>1.165</v>
      </c>
      <c r="AF68" s="756">
        <v>1.64</v>
      </c>
      <c r="AG68" s="756">
        <v>1.6560000000000001</v>
      </c>
      <c r="AH68" s="756">
        <v>1.6640000000000001</v>
      </c>
      <c r="AI68" s="757">
        <v>1.26</v>
      </c>
      <c r="AJ68" s="743">
        <v>1.272</v>
      </c>
      <c r="AK68" s="743">
        <v>1.278</v>
      </c>
      <c r="AL68" s="712"/>
      <c r="AM68" s="712"/>
      <c r="AN68" s="712"/>
      <c r="AO68" s="712"/>
      <c r="AP68" s="712"/>
      <c r="AQ68" s="712"/>
      <c r="AR68" s="712"/>
      <c r="AS68" s="712"/>
      <c r="AT68" s="49"/>
      <c r="AU68" s="49"/>
      <c r="AV68" s="49"/>
      <c r="AW68" s="49"/>
      <c r="AX68" s="49"/>
      <c r="AY68" s="49"/>
      <c r="AZ68" s="49"/>
      <c r="BA68" s="49"/>
      <c r="BB68" s="49"/>
      <c r="BC68" s="49"/>
      <c r="BD68" s="49"/>
      <c r="BE68" s="49"/>
      <c r="BF68" s="49"/>
      <c r="BG68" s="49"/>
      <c r="BH68" s="49"/>
      <c r="BI68" s="49"/>
    </row>
    <row r="69" spans="1:61" ht="42" customHeight="1">
      <c r="L69" s="712" t="s">
        <v>192</v>
      </c>
      <c r="M69" s="712">
        <f>IF($B$5="&lt;5",$AK$68,IF($B$5="5 to 7",$AK$69,IF($B$5="&gt;7",$AK$70)))</f>
        <v>1.278</v>
      </c>
      <c r="N69" s="712">
        <f>IF($B$5="&lt;5",$AH$68,IF($B$5="5 to 7",$AH$69,IF($B$5="&gt;7",$AH$70)))</f>
        <v>1.6640000000000001</v>
      </c>
      <c r="O69" s="712">
        <f>IF($B$5="&lt;5",$AE$68,IF($B$5="5 to 7",$AE$69,IF($B$5="&gt;7",$AE$70)))</f>
        <v>1.165</v>
      </c>
      <c r="P69" s="712">
        <f>IF($B$5="&lt;5",$AB$68,IF($B$5="5 to 7",$AB$69,IF($B$5="&gt;7",$AB$70)))</f>
        <v>1.7850000000000001</v>
      </c>
      <c r="Q69" s="712">
        <f>IF($B$5="&lt;5",$Y$68,IF($B$5="5 to 7",$Y$69,IF($B$5="&gt;7",$Y$70)))</f>
        <v>1.6800000000000002</v>
      </c>
      <c r="R69" s="712"/>
      <c r="S69" s="712"/>
      <c r="T69" s="714" t="s">
        <v>17</v>
      </c>
      <c r="U69" s="745" t="s">
        <v>180</v>
      </c>
      <c r="V69" s="714"/>
      <c r="W69" s="759">
        <v>1.6970000000000001</v>
      </c>
      <c r="X69" s="759">
        <v>1.714</v>
      </c>
      <c r="Y69" s="759">
        <v>1.722</v>
      </c>
      <c r="Z69" s="758">
        <v>1.8029999999999999</v>
      </c>
      <c r="AA69" s="758">
        <v>1.8210000000000002</v>
      </c>
      <c r="AB69" s="758">
        <v>1.83</v>
      </c>
      <c r="AC69" s="755">
        <v>1.177</v>
      </c>
      <c r="AD69" s="755">
        <v>1.1879999999999999</v>
      </c>
      <c r="AE69" s="755">
        <v>1.194</v>
      </c>
      <c r="AF69" s="756">
        <v>1.681</v>
      </c>
      <c r="AG69" s="756">
        <v>1.6970000000000001</v>
      </c>
      <c r="AH69" s="756">
        <v>1.706</v>
      </c>
      <c r="AI69" s="757">
        <v>1.292</v>
      </c>
      <c r="AJ69" s="743">
        <v>1.304</v>
      </c>
      <c r="AK69" s="757">
        <v>1.31</v>
      </c>
      <c r="AL69" s="712"/>
      <c r="AM69" s="712"/>
      <c r="AN69" s="712"/>
      <c r="AO69" s="712"/>
      <c r="AP69" s="712"/>
      <c r="AQ69" s="712"/>
      <c r="AR69" s="712"/>
      <c r="AS69" s="712"/>
      <c r="AT69" s="49"/>
      <c r="AU69" s="49"/>
      <c r="AV69" s="49"/>
      <c r="AW69" s="49"/>
      <c r="AX69" s="49"/>
      <c r="AY69" s="49"/>
      <c r="AZ69" s="49"/>
      <c r="BA69" s="49"/>
      <c r="BB69" s="49"/>
      <c r="BC69" s="49"/>
      <c r="BD69" s="49"/>
      <c r="BE69" s="49"/>
      <c r="BF69" s="49"/>
      <c r="BG69" s="49"/>
      <c r="BH69" s="49"/>
      <c r="BI69" s="49"/>
    </row>
    <row r="70" spans="1:61" ht="33.75" customHeight="1">
      <c r="L70" s="712" t="s">
        <v>193</v>
      </c>
      <c r="M70" s="712">
        <f>IF($B$5="&lt;5",$AJ$68,IF($B$5="5 to 7",$AJ$69,IF($B$5="&gt;7",$AJ$70)))</f>
        <v>1.272</v>
      </c>
      <c r="N70" s="712">
        <f>IF($B$5="&lt;5",$AG$68,IF($B$5="5 to 7",$AG$69,IF($B$5="&gt;7",$AG$70)))</f>
        <v>1.6560000000000001</v>
      </c>
      <c r="O70" s="712">
        <f>IF($B$5="&lt;5",$AD$68,IF($B$5="5 to 7",$AD$69,IF($B$5="&gt;7",$AD$70)))</f>
        <v>1.159</v>
      </c>
      <c r="P70" s="712">
        <f>IF($B$5="&lt;5",$AA$68,IF($B$5="5 to 7",$AA$69,IF($B$5="&gt;7",$AA$70)))</f>
        <v>1.7770000000000001</v>
      </c>
      <c r="Q70" s="712">
        <f>IF($B$5="&lt;5",$X$68,IF($B$5="5 to 7",$X$69,IF($B$5="&gt;7",$X$70)))</f>
        <v>1.6720000000000002</v>
      </c>
      <c r="R70" s="712"/>
      <c r="S70" s="712"/>
      <c r="T70" s="714" t="s">
        <v>170</v>
      </c>
      <c r="U70" s="745" t="s">
        <v>300</v>
      </c>
      <c r="V70" s="714"/>
      <c r="W70" s="759">
        <v>1.7389999999999999</v>
      </c>
      <c r="X70" s="759">
        <v>1.756</v>
      </c>
      <c r="Y70" s="759">
        <v>1.764</v>
      </c>
      <c r="Z70" s="758">
        <v>1.847</v>
      </c>
      <c r="AA70" s="758">
        <v>1.8660000000000001</v>
      </c>
      <c r="AB70" s="758">
        <v>1.8740000000000001</v>
      </c>
      <c r="AC70" s="755">
        <v>1.2050000000000001</v>
      </c>
      <c r="AD70" s="755">
        <v>1.2170000000000001</v>
      </c>
      <c r="AE70" s="755">
        <v>1.2230000000000001</v>
      </c>
      <c r="AF70" s="756">
        <v>1.722</v>
      </c>
      <c r="AG70" s="756">
        <v>1.7389999999999999</v>
      </c>
      <c r="AH70" s="756">
        <v>1.7469999999999999</v>
      </c>
      <c r="AI70" s="743">
        <v>1.323</v>
      </c>
      <c r="AJ70" s="743">
        <v>1.3360000000000001</v>
      </c>
      <c r="AK70" s="743">
        <v>1.3420000000000001</v>
      </c>
      <c r="AL70" s="712"/>
      <c r="AM70" s="712"/>
      <c r="AN70" s="712"/>
      <c r="AO70" s="712"/>
      <c r="AP70" s="712"/>
      <c r="AQ70" s="712"/>
      <c r="AR70" s="712"/>
      <c r="AS70" s="712"/>
      <c r="AT70" s="49"/>
      <c r="AU70" s="49"/>
      <c r="AV70" s="49"/>
      <c r="AW70" s="49"/>
      <c r="AX70" s="49"/>
      <c r="AY70" s="49"/>
      <c r="AZ70" s="49"/>
      <c r="BA70" s="49"/>
      <c r="BB70" s="49"/>
      <c r="BC70" s="49"/>
      <c r="BD70" s="49"/>
      <c r="BE70" s="49"/>
      <c r="BF70" s="49"/>
      <c r="BG70" s="49"/>
      <c r="BH70" s="49"/>
      <c r="BI70" s="49"/>
    </row>
    <row r="71" spans="1:61" ht="24" customHeight="1">
      <c r="L71" s="712" t="s">
        <v>333</v>
      </c>
      <c r="M71" s="712">
        <f>IF($B$5="&lt;5",$AI$68,IF($B$5="5 to 7",$AI$69,IF($B$5="&gt;7",$AI$70)))</f>
        <v>1.26</v>
      </c>
      <c r="N71" s="712">
        <f>IF($B$5="&lt;5",$AF$68,IF($B$5="5 to 7",$AF$69,IF($B$5="&gt;7",$AF$70)))</f>
        <v>1.64</v>
      </c>
      <c r="O71" s="712">
        <f>IF($B$5="&lt;5",$AC$68,IF($B$5="5 to 7",$AC$69,IF($B$5="&gt;7",$AC$70)))</f>
        <v>1.1479999999999999</v>
      </c>
      <c r="P71" s="712">
        <f>IF($B$5="&lt;5",$Z$68,IF($B$5="5 to 7",$Z$69,IF($B$5="&gt;7",$Z$70)))</f>
        <v>1.7589999999999999</v>
      </c>
      <c r="Q71" s="712">
        <f>IF($B$5="&lt;5",$W$68,IF($B$5="5 to 7",$W$69,IF($B$5="&gt;7",$W$70)))</f>
        <v>1.6560000000000001</v>
      </c>
      <c r="R71" s="712"/>
      <c r="S71" s="712"/>
      <c r="T71" s="714">
        <v>7.1</v>
      </c>
      <c r="V71" s="714"/>
      <c r="W71" s="714"/>
      <c r="X71" s="712"/>
      <c r="Y71" s="712"/>
      <c r="AC71" s="713"/>
      <c r="AI71" s="712"/>
      <c r="AJ71" s="712"/>
      <c r="AK71" s="712"/>
      <c r="AL71" s="712"/>
      <c r="AM71" s="712"/>
      <c r="AN71" s="712"/>
      <c r="AO71" s="712"/>
      <c r="AP71" s="712"/>
      <c r="AQ71" s="712"/>
      <c r="AR71" s="712"/>
      <c r="AS71" s="712"/>
      <c r="AT71" s="49"/>
      <c r="AU71" s="49"/>
      <c r="AV71" s="49"/>
      <c r="AW71" s="49"/>
      <c r="AX71" s="49"/>
      <c r="AY71" s="49"/>
      <c r="AZ71" s="49"/>
      <c r="BA71" s="49"/>
      <c r="BB71" s="49"/>
      <c r="BC71" s="49"/>
      <c r="BD71" s="49"/>
      <c r="BE71" s="49"/>
      <c r="BF71" s="49"/>
      <c r="BG71" s="49"/>
      <c r="BH71" s="49"/>
      <c r="BI71" s="49"/>
    </row>
    <row r="72" spans="1:61">
      <c r="L72" s="712" t="s">
        <v>582</v>
      </c>
      <c r="M72" s="712">
        <f>IF(B3="Zone A",M69,IF(B3="Zone B",M70,M71))</f>
        <v>1.26</v>
      </c>
      <c r="N72" s="712">
        <f>IF(C3="Zone A",N69,IF(C3="Zone B",N70,N71))</f>
        <v>1.64</v>
      </c>
      <c r="O72" s="712">
        <f>IF(D3="Zone A",O69,IF(D3="Zone B",O70,O71))</f>
        <v>1.1479999999999999</v>
      </c>
      <c r="P72" s="712">
        <f>IF(E3="Zone A",P69,IF(E3="Zone B",P70,P71))</f>
        <v>1.7589999999999999</v>
      </c>
      <c r="Q72" s="712">
        <f>IF(F3="Zone A",Q69,IF(F3="Zone B",Q70,Q71))</f>
        <v>1.6560000000000001</v>
      </c>
      <c r="R72" s="712"/>
      <c r="S72" s="712"/>
      <c r="T72" s="712"/>
      <c r="U72" s="712"/>
      <c r="V72" s="712"/>
      <c r="W72" s="712"/>
      <c r="X72" s="712"/>
      <c r="Y72" s="712"/>
      <c r="Z72" s="712"/>
      <c r="AA72" s="713"/>
      <c r="AB72" s="713"/>
      <c r="AC72" s="713"/>
      <c r="AD72" s="713"/>
      <c r="AE72" s="712"/>
      <c r="AF72" s="712"/>
      <c r="AG72" s="712"/>
      <c r="AH72" s="712" t="s">
        <v>195</v>
      </c>
      <c r="AI72" s="712"/>
      <c r="AJ72" s="712"/>
      <c r="AK72" s="712"/>
      <c r="AL72" s="712"/>
      <c r="AM72" s="712"/>
      <c r="AN72" s="712"/>
      <c r="AO72" s="712"/>
      <c r="AP72" s="712"/>
      <c r="AQ72" s="712"/>
      <c r="AR72" s="712"/>
      <c r="AS72" s="712"/>
      <c r="AT72" s="49"/>
      <c r="AU72" s="49"/>
      <c r="AV72" s="49"/>
      <c r="AW72" s="49"/>
      <c r="AX72" s="49"/>
      <c r="AY72" s="49"/>
      <c r="AZ72" s="49"/>
      <c r="BA72" s="49"/>
      <c r="BB72" s="49"/>
      <c r="BC72" s="49"/>
      <c r="BD72" s="49"/>
      <c r="BE72" s="49"/>
      <c r="BF72" s="49"/>
      <c r="BG72" s="49"/>
      <c r="BH72" s="49"/>
      <c r="BI72" s="49"/>
    </row>
    <row r="73" spans="1:61">
      <c r="L73" s="712" t="s">
        <v>574</v>
      </c>
      <c r="M73" s="712">
        <v>2595</v>
      </c>
      <c r="N73" s="712">
        <v>4544</v>
      </c>
      <c r="O73" s="712">
        <v>3150</v>
      </c>
      <c r="P73" s="712">
        <v>6222</v>
      </c>
      <c r="Q73" s="712">
        <v>14261</v>
      </c>
      <c r="R73" s="712"/>
      <c r="S73" s="712"/>
      <c r="T73" s="712"/>
      <c r="U73" s="712"/>
      <c r="V73" s="712"/>
      <c r="W73" s="712"/>
      <c r="X73" s="712"/>
      <c r="Y73" s="712"/>
      <c r="Z73" s="712"/>
      <c r="AA73" s="712"/>
      <c r="AB73" s="713"/>
      <c r="AC73" s="713"/>
      <c r="AD73" s="713"/>
      <c r="AE73" s="712"/>
      <c r="AF73" s="712"/>
      <c r="AG73" s="712"/>
      <c r="AH73" s="712"/>
      <c r="AI73" s="712"/>
      <c r="AJ73" s="712"/>
      <c r="AK73" s="712"/>
      <c r="AL73" s="712"/>
      <c r="AM73" s="712"/>
      <c r="AN73" s="712"/>
      <c r="AO73" s="712"/>
      <c r="AP73" s="712"/>
      <c r="AQ73" s="712"/>
      <c r="AR73" s="712"/>
      <c r="AS73" s="712"/>
      <c r="AT73" s="49"/>
      <c r="AU73" s="49"/>
      <c r="AV73" s="49"/>
      <c r="AW73" s="49"/>
      <c r="AX73" s="49"/>
      <c r="AY73" s="49"/>
      <c r="AZ73" s="49"/>
      <c r="BA73" s="49"/>
      <c r="BB73" s="49"/>
      <c r="BC73" s="49"/>
      <c r="BD73" s="49"/>
      <c r="BE73" s="49"/>
      <c r="BF73" s="49"/>
      <c r="BG73" s="49"/>
      <c r="BH73" s="49"/>
      <c r="BI73" s="49"/>
    </row>
    <row r="74" spans="1:61">
      <c r="A74" s="28"/>
      <c r="B74" s="28"/>
      <c r="C74" s="28"/>
      <c r="D74" s="28"/>
      <c r="E74" s="28"/>
      <c r="F74" s="28"/>
      <c r="L74" s="712"/>
      <c r="M74" s="712"/>
      <c r="N74" s="712"/>
      <c r="O74" s="712"/>
      <c r="P74" s="712"/>
      <c r="Q74" s="712"/>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2"/>
      <c r="AS74" s="712"/>
      <c r="AT74" s="49"/>
      <c r="AU74" s="49"/>
      <c r="AV74" s="49"/>
      <c r="AW74" s="49"/>
      <c r="AX74" s="49"/>
      <c r="AY74" s="49"/>
      <c r="AZ74" s="49"/>
      <c r="BA74" s="49"/>
      <c r="BB74" s="49"/>
      <c r="BC74" s="49"/>
      <c r="BD74" s="49"/>
      <c r="BE74" s="49"/>
      <c r="BF74" s="49"/>
      <c r="BG74" s="49"/>
      <c r="BH74" s="49"/>
      <c r="BI74" s="49"/>
    </row>
    <row r="75" spans="1:61">
      <c r="A75" s="28"/>
      <c r="B75" s="28"/>
      <c r="C75" s="28"/>
      <c r="D75" s="28"/>
      <c r="E75" s="28"/>
      <c r="F75" s="28"/>
      <c r="L75" s="712"/>
      <c r="M75" s="712"/>
      <c r="N75" s="712"/>
      <c r="O75" s="712"/>
      <c r="P75" s="712"/>
      <c r="Q75" s="712"/>
      <c r="R75" s="712"/>
      <c r="S75" s="712"/>
      <c r="T75" s="712"/>
      <c r="U75" s="712"/>
      <c r="V75" s="712"/>
      <c r="W75" s="712"/>
      <c r="X75" s="712"/>
      <c r="Y75" s="712"/>
      <c r="Z75" s="712"/>
      <c r="AA75" s="712"/>
      <c r="AB75" s="712"/>
      <c r="AC75" s="712"/>
      <c r="AD75" s="712"/>
      <c r="AE75" s="712"/>
      <c r="AF75" s="712"/>
      <c r="AG75" s="712"/>
      <c r="AH75" s="712"/>
      <c r="AI75" s="712"/>
      <c r="AJ75" s="712"/>
      <c r="AK75" s="712"/>
      <c r="AL75" s="712"/>
      <c r="AM75" s="712"/>
      <c r="AN75" s="712"/>
      <c r="AO75" s="712"/>
      <c r="AP75" s="712"/>
      <c r="AQ75" s="712"/>
      <c r="AR75" s="712"/>
      <c r="AS75" s="712"/>
      <c r="AT75" s="49"/>
      <c r="AU75" s="49"/>
      <c r="AV75" s="49"/>
      <c r="AW75" s="49"/>
      <c r="AX75" s="49"/>
      <c r="AY75" s="49"/>
      <c r="AZ75" s="49"/>
      <c r="BA75" s="49"/>
      <c r="BB75" s="49"/>
      <c r="BC75" s="49"/>
      <c r="BD75" s="49"/>
      <c r="BE75" s="49"/>
      <c r="BF75" s="49"/>
      <c r="BG75" s="49"/>
      <c r="BH75" s="49"/>
      <c r="BI75" s="49"/>
    </row>
    <row r="76" spans="1:61" ht="37.5">
      <c r="A76" s="149"/>
      <c r="B76" s="117"/>
      <c r="C76" s="117"/>
      <c r="D76" s="117"/>
      <c r="E76" s="117"/>
      <c r="F76" s="150"/>
      <c r="L76" s="712"/>
      <c r="M76" s="712"/>
      <c r="N76" s="712"/>
      <c r="O76" s="712"/>
      <c r="P76" s="712"/>
      <c r="Q76" s="712"/>
      <c r="R76" s="712"/>
      <c r="S76" s="712"/>
      <c r="T76" s="712"/>
      <c r="U76" s="712"/>
      <c r="V76" s="712"/>
      <c r="W76" s="712"/>
      <c r="X76" s="712"/>
      <c r="Y76" s="712"/>
      <c r="Z76" s="712"/>
      <c r="AA76" s="712"/>
      <c r="AB76" s="712"/>
      <c r="AC76" s="712"/>
      <c r="AD76" s="712"/>
      <c r="AE76" s="712"/>
      <c r="AF76" s="712"/>
      <c r="AG76" s="712"/>
      <c r="AH76" s="712"/>
      <c r="AI76" s="712"/>
      <c r="AJ76" s="712"/>
      <c r="AK76" s="712"/>
      <c r="AL76" s="712"/>
      <c r="AM76" s="712"/>
      <c r="AN76" s="712"/>
      <c r="AO76" s="712"/>
      <c r="AP76" s="712"/>
      <c r="AQ76" s="712"/>
      <c r="AR76" s="712"/>
      <c r="AS76" s="712"/>
      <c r="AT76" s="49"/>
      <c r="AU76" s="49"/>
      <c r="AV76" s="49"/>
      <c r="AW76" s="49"/>
      <c r="AX76" s="49"/>
      <c r="AY76" s="49"/>
      <c r="AZ76" s="49"/>
      <c r="BA76" s="49"/>
      <c r="BB76" s="49"/>
      <c r="BC76" s="49"/>
      <c r="BD76" s="49"/>
      <c r="BE76" s="49"/>
      <c r="BF76" s="49"/>
      <c r="BG76" s="49"/>
      <c r="BH76" s="49"/>
      <c r="BI76" s="49"/>
    </row>
    <row r="77" spans="1:61" ht="23.25">
      <c r="A77" s="129"/>
      <c r="B77" s="151"/>
      <c r="C77" s="151"/>
      <c r="D77" s="151"/>
      <c r="E77" s="151"/>
      <c r="F77" s="151"/>
      <c r="L77" s="712"/>
      <c r="M77" s="712"/>
      <c r="N77" s="712"/>
      <c r="O77" s="712"/>
      <c r="P77" s="712"/>
      <c r="Q77" s="712"/>
      <c r="R77" s="712"/>
      <c r="S77" s="712"/>
      <c r="T77" s="712"/>
      <c r="U77" s="712"/>
      <c r="V77" s="712"/>
      <c r="W77" s="712"/>
      <c r="X77" s="712"/>
      <c r="Y77" s="712"/>
      <c r="Z77" s="712"/>
      <c r="AA77" s="712"/>
      <c r="AB77" s="712"/>
      <c r="AC77" s="712"/>
      <c r="AD77" s="712"/>
      <c r="AE77" s="712"/>
      <c r="AF77" s="712"/>
      <c r="AG77" s="712"/>
      <c r="AH77" s="712"/>
      <c r="AI77" s="712"/>
      <c r="AJ77" s="712"/>
      <c r="AK77" s="712"/>
      <c r="AL77" s="712"/>
      <c r="AM77" s="712"/>
      <c r="AN77" s="712"/>
      <c r="AO77" s="712"/>
      <c r="AP77" s="712"/>
      <c r="AQ77" s="712"/>
      <c r="AR77" s="712"/>
      <c r="AS77" s="712"/>
      <c r="AT77" s="49"/>
      <c r="AU77" s="49"/>
      <c r="AV77" s="49"/>
      <c r="AW77" s="49"/>
      <c r="AX77" s="49"/>
      <c r="AY77" s="49"/>
      <c r="AZ77" s="49"/>
      <c r="BA77" s="49"/>
      <c r="BB77" s="49"/>
      <c r="BC77" s="49"/>
      <c r="BD77" s="49"/>
      <c r="BE77" s="49"/>
      <c r="BF77" s="49"/>
      <c r="BG77" s="49"/>
      <c r="BH77" s="49"/>
      <c r="BI77" s="49"/>
    </row>
    <row r="78" spans="1:61">
      <c r="A78" s="86"/>
      <c r="B78" s="86"/>
      <c r="C78" s="86"/>
      <c r="D78" s="86"/>
      <c r="E78" s="86"/>
      <c r="F78" s="86"/>
      <c r="L78" s="712"/>
      <c r="M78" s="712"/>
      <c r="N78" s="712"/>
      <c r="O78" s="712"/>
      <c r="P78" s="712"/>
      <c r="Q78" s="712"/>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49"/>
      <c r="AU78" s="49"/>
      <c r="AV78" s="49"/>
      <c r="AW78" s="49"/>
      <c r="AX78" s="49"/>
      <c r="AY78" s="49"/>
      <c r="AZ78" s="49"/>
      <c r="BA78" s="49"/>
      <c r="BB78" s="49"/>
      <c r="BC78" s="49"/>
      <c r="BD78" s="49"/>
      <c r="BE78" s="49"/>
      <c r="BF78" s="49"/>
      <c r="BG78" s="49"/>
      <c r="BH78" s="49"/>
      <c r="BI78" s="49"/>
    </row>
    <row r="79" spans="1:61" ht="17.25" customHeight="1">
      <c r="A79" s="131"/>
      <c r="B79" s="132"/>
      <c r="C79" s="132"/>
      <c r="D79" s="132"/>
      <c r="E79" s="132"/>
      <c r="F79" s="132"/>
      <c r="L79" s="712"/>
      <c r="M79" s="712"/>
      <c r="N79" s="712"/>
      <c r="O79" s="712"/>
      <c r="P79" s="712"/>
      <c r="Q79" s="712"/>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49"/>
      <c r="AU79" s="49"/>
      <c r="AV79" s="49"/>
      <c r="AW79" s="49"/>
      <c r="AX79" s="49"/>
      <c r="AY79" s="49"/>
      <c r="AZ79" s="49"/>
      <c r="BA79" s="49"/>
      <c r="BB79" s="49"/>
      <c r="BC79" s="49"/>
      <c r="BD79" s="49"/>
      <c r="BE79" s="49"/>
      <c r="BF79" s="49"/>
      <c r="BG79" s="49"/>
      <c r="BH79" s="49"/>
      <c r="BI79" s="49"/>
    </row>
    <row r="80" spans="1:61" ht="15.75">
      <c r="A80" s="133"/>
      <c r="B80" s="132"/>
      <c r="C80" s="132"/>
      <c r="D80" s="132"/>
      <c r="E80" s="132"/>
      <c r="F80" s="132"/>
      <c r="L80" s="712"/>
      <c r="M80" s="712"/>
      <c r="N80" s="712"/>
      <c r="O80" s="712"/>
      <c r="P80" s="712"/>
      <c r="Q80" s="712"/>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49"/>
      <c r="AU80" s="49"/>
      <c r="AV80" s="49"/>
      <c r="AW80" s="49"/>
      <c r="AX80" s="49"/>
      <c r="AY80" s="49"/>
      <c r="AZ80" s="49"/>
      <c r="BA80" s="49"/>
      <c r="BB80" s="49"/>
      <c r="BC80" s="49"/>
      <c r="BD80" s="49"/>
      <c r="BE80" s="49"/>
      <c r="BF80" s="49"/>
      <c r="BG80" s="49"/>
      <c r="BH80" s="49"/>
      <c r="BI80" s="49"/>
    </row>
    <row r="81" spans="1:61" ht="15.75">
      <c r="A81" s="131"/>
      <c r="B81" s="132"/>
      <c r="C81" s="132"/>
      <c r="D81" s="132"/>
      <c r="E81" s="132"/>
      <c r="F81" s="132"/>
      <c r="L81" s="712"/>
      <c r="M81" s="712"/>
      <c r="N81" s="712"/>
      <c r="O81" s="712"/>
      <c r="P81" s="712"/>
      <c r="Q81" s="712"/>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49"/>
      <c r="AU81" s="49"/>
      <c r="AV81" s="49"/>
      <c r="AW81" s="49"/>
      <c r="AX81" s="49"/>
      <c r="AY81" s="49"/>
      <c r="AZ81" s="49"/>
      <c r="BA81" s="49"/>
      <c r="BB81" s="49"/>
      <c r="BC81" s="49"/>
      <c r="BD81" s="49"/>
      <c r="BE81" s="49"/>
      <c r="BF81" s="49"/>
      <c r="BG81" s="49"/>
      <c r="BH81" s="49"/>
      <c r="BI81" s="49"/>
    </row>
    <row r="82" spans="1:61">
      <c r="A82" s="86"/>
      <c r="B82" s="86"/>
      <c r="C82" s="86"/>
      <c r="D82" s="86"/>
      <c r="E82" s="86"/>
      <c r="F82" s="86"/>
      <c r="L82" s="712"/>
      <c r="M82" s="712"/>
      <c r="N82" s="712"/>
      <c r="O82" s="712"/>
      <c r="P82" s="712"/>
      <c r="Q82" s="712"/>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49"/>
      <c r="AU82" s="49"/>
      <c r="AV82" s="49"/>
      <c r="AW82" s="49"/>
      <c r="AX82" s="49"/>
      <c r="AY82" s="49"/>
      <c r="AZ82" s="49"/>
      <c r="BA82" s="49"/>
      <c r="BB82" s="49"/>
      <c r="BC82" s="49"/>
      <c r="BD82" s="49"/>
      <c r="BE82" s="49"/>
      <c r="BF82" s="49"/>
      <c r="BG82" s="49"/>
      <c r="BH82" s="49"/>
      <c r="BI82" s="49"/>
    </row>
    <row r="83" spans="1:61" ht="23.25">
      <c r="A83" s="129"/>
      <c r="B83" s="151"/>
      <c r="C83" s="151"/>
      <c r="D83" s="151"/>
      <c r="E83" s="151"/>
      <c r="F83" s="151"/>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49"/>
      <c r="AU83" s="49"/>
      <c r="AV83" s="49"/>
      <c r="AW83" s="49"/>
      <c r="AX83" s="49"/>
      <c r="AY83" s="49"/>
      <c r="AZ83" s="49"/>
      <c r="BA83" s="49"/>
      <c r="BB83" s="49"/>
      <c r="BC83" s="49"/>
      <c r="BD83" s="49"/>
      <c r="BE83" s="49"/>
      <c r="BF83" s="49"/>
      <c r="BG83" s="49"/>
      <c r="BH83" s="49"/>
      <c r="BI83" s="49"/>
    </row>
    <row r="84" spans="1:61">
      <c r="A84" s="86"/>
      <c r="B84" s="86"/>
      <c r="C84" s="86"/>
      <c r="D84" s="86"/>
      <c r="E84" s="86"/>
      <c r="F84" s="86"/>
      <c r="L84" s="712"/>
      <c r="M84" s="712"/>
      <c r="N84" s="712"/>
      <c r="O84" s="712"/>
      <c r="P84" s="712"/>
      <c r="Q84" s="712"/>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49"/>
      <c r="AU84" s="49"/>
      <c r="AV84" s="49"/>
      <c r="AW84" s="49"/>
      <c r="AX84" s="49"/>
      <c r="AY84" s="49"/>
      <c r="AZ84" s="49"/>
      <c r="BA84" s="49"/>
      <c r="BB84" s="49"/>
      <c r="BC84" s="49"/>
      <c r="BD84" s="49"/>
      <c r="BE84" s="49"/>
      <c r="BF84" s="49"/>
      <c r="BG84" s="49"/>
      <c r="BH84" s="49"/>
      <c r="BI84" s="49"/>
    </row>
    <row r="85" spans="1:61" ht="15.75">
      <c r="A85" s="131"/>
      <c r="B85" s="132"/>
      <c r="C85" s="132"/>
      <c r="D85" s="132"/>
      <c r="E85" s="132"/>
      <c r="F85" s="132"/>
      <c r="L85" s="712"/>
      <c r="M85" s="712"/>
      <c r="N85" s="712"/>
      <c r="O85" s="712"/>
      <c r="P85" s="712"/>
      <c r="Q85" s="712"/>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49"/>
      <c r="AU85" s="49"/>
      <c r="AV85" s="49"/>
      <c r="AW85" s="49"/>
      <c r="AX85" s="49"/>
      <c r="AY85" s="49"/>
      <c r="AZ85" s="49"/>
      <c r="BA85" s="49"/>
      <c r="BB85" s="49"/>
      <c r="BC85" s="49"/>
      <c r="BD85" s="49"/>
      <c r="BE85" s="49"/>
      <c r="BF85" s="49"/>
      <c r="BG85" s="49"/>
      <c r="BH85" s="49"/>
      <c r="BI85" s="49"/>
    </row>
    <row r="86" spans="1:61" ht="15.75">
      <c r="A86" s="133"/>
      <c r="B86" s="132"/>
      <c r="C86" s="132"/>
      <c r="D86" s="132"/>
      <c r="E86" s="132"/>
      <c r="F86" s="132"/>
      <c r="L86" s="712"/>
      <c r="M86" s="712"/>
      <c r="N86" s="712"/>
      <c r="O86" s="712"/>
      <c r="P86" s="712"/>
      <c r="Q86" s="712"/>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49"/>
      <c r="AU86" s="49"/>
      <c r="AV86" s="49"/>
      <c r="AW86" s="49"/>
      <c r="AX86" s="49"/>
      <c r="AY86" s="49"/>
      <c r="AZ86" s="49"/>
      <c r="BA86" s="49"/>
      <c r="BB86" s="49"/>
      <c r="BC86" s="49"/>
      <c r="BD86" s="49"/>
      <c r="BE86" s="49"/>
      <c r="BF86" s="49"/>
      <c r="BG86" s="49"/>
      <c r="BH86" s="49"/>
      <c r="BI86" s="49"/>
    </row>
    <row r="87" spans="1:61" ht="15.75">
      <c r="A87" s="131"/>
      <c r="B87" s="132"/>
      <c r="C87" s="132"/>
      <c r="D87" s="132"/>
      <c r="E87" s="132"/>
      <c r="F87" s="132"/>
      <c r="L87" s="712"/>
      <c r="M87" s="712"/>
      <c r="N87" s="712"/>
      <c r="O87" s="712"/>
      <c r="P87" s="712"/>
      <c r="Q87" s="712"/>
      <c r="R87" s="712"/>
      <c r="S87" s="712"/>
      <c r="T87" s="712"/>
      <c r="U87" s="712"/>
      <c r="V87" s="712"/>
      <c r="W87" s="712"/>
      <c r="X87" s="712"/>
      <c r="Y87" s="712"/>
      <c r="Z87" s="712"/>
      <c r="AA87" s="712"/>
      <c r="AB87" s="712"/>
      <c r="AC87" s="712"/>
      <c r="AD87" s="712"/>
      <c r="AE87" s="712"/>
      <c r="AF87" s="712"/>
      <c r="AG87" s="712"/>
      <c r="AH87" s="712"/>
      <c r="AI87" s="712"/>
      <c r="AJ87" s="712"/>
      <c r="AK87" s="712"/>
      <c r="AL87" s="712"/>
      <c r="AM87" s="712"/>
      <c r="AN87" s="712"/>
      <c r="AO87" s="712"/>
      <c r="AP87" s="712"/>
      <c r="AQ87" s="712"/>
      <c r="AR87" s="712"/>
      <c r="AS87" s="712"/>
      <c r="AT87" s="49"/>
      <c r="AU87" s="49"/>
      <c r="AV87" s="49"/>
      <c r="AW87" s="49"/>
      <c r="AX87" s="49"/>
      <c r="AY87" s="49"/>
      <c r="AZ87" s="49"/>
      <c r="BA87" s="49"/>
      <c r="BB87" s="49"/>
      <c r="BC87" s="49"/>
      <c r="BD87" s="49"/>
      <c r="BE87" s="49"/>
      <c r="BF87" s="49"/>
      <c r="BG87" s="49"/>
      <c r="BH87" s="49"/>
      <c r="BI87" s="49"/>
    </row>
    <row r="88" spans="1:61">
      <c r="A88" s="86"/>
      <c r="B88" s="86"/>
      <c r="C88" s="86"/>
      <c r="D88" s="86"/>
      <c r="E88" s="86"/>
      <c r="F88" s="86"/>
      <c r="L88" s="715"/>
      <c r="M88" s="715"/>
      <c r="N88" s="715"/>
      <c r="O88" s="715"/>
      <c r="P88" s="715"/>
      <c r="Q88" s="715"/>
      <c r="R88" s="715"/>
      <c r="S88" s="715"/>
      <c r="T88" s="715"/>
      <c r="U88" s="715"/>
      <c r="V88" s="715"/>
      <c r="W88" s="715"/>
      <c r="X88" s="715"/>
      <c r="Y88" s="715"/>
      <c r="Z88" s="715"/>
      <c r="AA88" s="715"/>
      <c r="AB88" s="715"/>
      <c r="AC88" s="715"/>
      <c r="AD88" s="715"/>
      <c r="AE88" s="715"/>
      <c r="AF88" s="715"/>
      <c r="AG88" s="715"/>
      <c r="AH88" s="715"/>
      <c r="AI88" s="715"/>
      <c r="AJ88" s="715"/>
      <c r="AK88" s="715"/>
      <c r="AL88" s="715"/>
      <c r="AM88" s="715"/>
      <c r="AN88" s="715"/>
      <c r="AO88" s="715"/>
      <c r="AP88" s="715"/>
      <c r="AQ88" s="715"/>
      <c r="AR88" s="715"/>
      <c r="AS88" s="715"/>
    </row>
    <row r="89" spans="1:61" ht="23.25">
      <c r="A89" s="129"/>
      <c r="B89" s="151"/>
      <c r="C89" s="151"/>
      <c r="D89" s="151"/>
      <c r="E89" s="151"/>
      <c r="F89" s="151"/>
    </row>
    <row r="90" spans="1:61">
      <c r="A90" s="86"/>
      <c r="B90" s="86"/>
      <c r="C90" s="86"/>
      <c r="D90" s="86"/>
      <c r="E90" s="86"/>
      <c r="F90" s="86"/>
    </row>
    <row r="91" spans="1:61" ht="15.75">
      <c r="A91" s="131"/>
      <c r="B91" s="132"/>
      <c r="C91" s="132"/>
      <c r="D91" s="132"/>
      <c r="E91" s="132"/>
      <c r="F91" s="132"/>
    </row>
    <row r="92" spans="1:61" ht="15.75">
      <c r="A92" s="133"/>
      <c r="B92" s="132"/>
      <c r="C92" s="132"/>
      <c r="D92" s="132"/>
      <c r="E92" s="132"/>
      <c r="F92" s="132"/>
    </row>
    <row r="93" spans="1:61" ht="15.75">
      <c r="A93" s="131"/>
      <c r="B93" s="132"/>
      <c r="C93" s="132"/>
      <c r="D93" s="132"/>
      <c r="E93" s="132"/>
      <c r="F93" s="132"/>
    </row>
    <row r="94" spans="1:61">
      <c r="A94" s="86"/>
      <c r="B94" s="86"/>
      <c r="C94" s="86"/>
      <c r="D94" s="86"/>
      <c r="E94" s="86"/>
      <c r="F94" s="86"/>
    </row>
    <row r="95" spans="1:61" ht="37.5">
      <c r="A95" s="149"/>
      <c r="B95" s="86"/>
      <c r="C95" s="86"/>
      <c r="D95" s="86"/>
      <c r="E95" s="86"/>
      <c r="F95" s="150"/>
    </row>
    <row r="96" spans="1:61" ht="17.25" customHeight="1">
      <c r="A96" s="129"/>
      <c r="B96" s="151"/>
      <c r="C96" s="151"/>
      <c r="D96" s="151"/>
      <c r="E96" s="151"/>
      <c r="F96" s="151"/>
    </row>
    <row r="97" spans="1:6">
      <c r="A97" s="86"/>
      <c r="B97" s="86"/>
      <c r="C97" s="86"/>
      <c r="D97" s="86"/>
      <c r="E97" s="86"/>
      <c r="F97" s="86"/>
    </row>
    <row r="98" spans="1:6" ht="15.75">
      <c r="A98" s="131"/>
      <c r="B98" s="132"/>
      <c r="C98" s="132"/>
      <c r="D98" s="132"/>
      <c r="E98" s="132"/>
      <c r="F98" s="132"/>
    </row>
    <row r="99" spans="1:6" ht="15" customHeight="1">
      <c r="A99" s="133"/>
      <c r="B99" s="132"/>
      <c r="C99" s="132"/>
      <c r="D99" s="132"/>
      <c r="E99" s="132"/>
      <c r="F99" s="132"/>
    </row>
    <row r="100" spans="1:6" ht="15.75">
      <c r="A100" s="131"/>
      <c r="B100" s="132"/>
      <c r="C100" s="132"/>
      <c r="D100" s="132"/>
      <c r="E100" s="132"/>
      <c r="F100" s="132"/>
    </row>
    <row r="101" spans="1:6">
      <c r="A101" s="86"/>
      <c r="B101" s="150"/>
      <c r="C101" s="150"/>
      <c r="D101" s="150"/>
      <c r="E101" s="150"/>
      <c r="F101" s="86"/>
    </row>
    <row r="102" spans="1:6" ht="23.25">
      <c r="A102" s="129"/>
      <c r="B102" s="151"/>
      <c r="C102" s="151"/>
      <c r="D102" s="151"/>
      <c r="E102" s="151"/>
      <c r="F102" s="151"/>
    </row>
    <row r="103" spans="1:6">
      <c r="A103" s="86"/>
      <c r="B103" s="86"/>
      <c r="C103" s="86"/>
      <c r="D103" s="86"/>
      <c r="E103" s="86"/>
      <c r="F103" s="86"/>
    </row>
    <row r="104" spans="1:6" ht="15.75">
      <c r="A104" s="131"/>
      <c r="B104" s="132"/>
      <c r="C104" s="132"/>
      <c r="D104" s="132"/>
      <c r="E104" s="132"/>
      <c r="F104" s="132"/>
    </row>
    <row r="105" spans="1:6" ht="15.75">
      <c r="A105" s="133"/>
      <c r="B105" s="132"/>
      <c r="C105" s="132"/>
      <c r="D105" s="132"/>
      <c r="E105" s="132"/>
      <c r="F105" s="132"/>
    </row>
    <row r="106" spans="1:6" ht="15.75">
      <c r="A106" s="131"/>
      <c r="B106" s="132"/>
      <c r="C106" s="132"/>
      <c r="D106" s="132"/>
      <c r="E106" s="132"/>
      <c r="F106" s="132"/>
    </row>
    <row r="107" spans="1:6">
      <c r="A107" s="86"/>
      <c r="B107" s="86"/>
      <c r="C107" s="86"/>
      <c r="D107" s="86"/>
      <c r="E107" s="86"/>
      <c r="F107" s="86"/>
    </row>
    <row r="108" spans="1:6" ht="23.25">
      <c r="A108" s="129"/>
      <c r="B108" s="151"/>
      <c r="C108" s="151"/>
      <c r="D108" s="151"/>
      <c r="E108" s="151"/>
      <c r="F108" s="151"/>
    </row>
    <row r="109" spans="1:6">
      <c r="A109" s="86"/>
      <c r="B109" s="86"/>
      <c r="C109" s="86"/>
      <c r="D109" s="86"/>
      <c r="E109" s="86"/>
      <c r="F109" s="117"/>
    </row>
    <row r="110" spans="1:6" ht="15.75">
      <c r="A110" s="131"/>
      <c r="B110" s="132"/>
      <c r="C110" s="132"/>
      <c r="D110" s="132"/>
      <c r="E110" s="132"/>
      <c r="F110" s="130"/>
    </row>
    <row r="111" spans="1:6" ht="15.75">
      <c r="A111" s="133"/>
      <c r="B111" s="132"/>
      <c r="C111" s="132"/>
      <c r="D111" s="132"/>
      <c r="E111" s="132"/>
      <c r="F111" s="130"/>
    </row>
    <row r="112" spans="1:6" ht="15.75">
      <c r="A112" s="131"/>
      <c r="B112" s="132"/>
      <c r="C112" s="132"/>
      <c r="D112" s="132"/>
      <c r="E112" s="132"/>
      <c r="F112" s="130"/>
    </row>
    <row r="113" spans="1:6" ht="40.5">
      <c r="A113" s="152"/>
      <c r="B113" s="86"/>
      <c r="C113" s="86"/>
      <c r="D113" s="86"/>
      <c r="E113" s="86"/>
      <c r="F113" s="117"/>
    </row>
    <row r="114" spans="1:6" ht="23.25">
      <c r="A114" s="86"/>
      <c r="B114" s="129"/>
      <c r="C114" s="129"/>
      <c r="D114" s="129"/>
      <c r="E114" s="86"/>
      <c r="F114" s="86"/>
    </row>
    <row r="115" spans="1:6" ht="15.75">
      <c r="A115" s="131"/>
      <c r="B115" s="132"/>
      <c r="C115" s="132"/>
      <c r="D115" s="132"/>
      <c r="E115" s="86"/>
      <c r="F115" s="86"/>
    </row>
    <row r="116" spans="1:6" ht="15.75">
      <c r="A116" s="133"/>
      <c r="B116" s="132"/>
      <c r="C116" s="132"/>
      <c r="D116" s="132"/>
      <c r="E116" s="86"/>
      <c r="F116" s="86"/>
    </row>
    <row r="117" spans="1:6" ht="15" customHeight="1">
      <c r="A117" s="131"/>
      <c r="B117" s="132"/>
      <c r="C117" s="132"/>
      <c r="D117" s="132"/>
      <c r="E117" s="86"/>
      <c r="F117" s="86"/>
    </row>
    <row r="118" spans="1:6" ht="38.25">
      <c r="A118" s="153"/>
      <c r="B118" s="150"/>
      <c r="C118" s="86"/>
      <c r="D118" s="86"/>
      <c r="E118" s="86"/>
      <c r="F118" s="86"/>
    </row>
    <row r="119" spans="1:6" ht="23.25">
      <c r="A119" s="132"/>
      <c r="B119" s="129"/>
      <c r="C119" s="129"/>
      <c r="D119" s="129"/>
      <c r="E119" s="86"/>
      <c r="F119" s="86"/>
    </row>
    <row r="120" spans="1:6">
      <c r="A120" s="86"/>
      <c r="B120" s="150"/>
      <c r="C120" s="86"/>
      <c r="D120" s="86"/>
      <c r="E120" s="86"/>
      <c r="F120" s="86"/>
    </row>
    <row r="121" spans="1:6" ht="15.75">
      <c r="A121" s="131"/>
      <c r="B121" s="132"/>
      <c r="C121" s="132"/>
      <c r="D121" s="132"/>
      <c r="E121" s="86"/>
      <c r="F121" s="86"/>
    </row>
    <row r="122" spans="1:6" ht="15.75">
      <c r="A122" s="133"/>
      <c r="B122" s="132"/>
      <c r="C122" s="132"/>
      <c r="D122" s="132"/>
      <c r="E122" s="86"/>
      <c r="F122" s="86"/>
    </row>
    <row r="123" spans="1:6" ht="15.75">
      <c r="A123" s="131"/>
      <c r="B123" s="132"/>
      <c r="C123" s="132"/>
      <c r="D123" s="132"/>
      <c r="E123" s="150"/>
      <c r="F123" s="86"/>
    </row>
    <row r="124" spans="1:6" ht="45">
      <c r="A124" s="138"/>
      <c r="B124" s="86"/>
      <c r="C124" s="86"/>
      <c r="D124" s="86"/>
      <c r="E124" s="86"/>
      <c r="F124" s="86"/>
    </row>
    <row r="125" spans="1:6" ht="18.75" customHeight="1">
      <c r="A125" s="130"/>
      <c r="B125" s="129"/>
      <c r="C125" s="129"/>
      <c r="D125" s="129"/>
      <c r="E125" s="86"/>
      <c r="F125" s="86"/>
    </row>
    <row r="126" spans="1:6" ht="15.75">
      <c r="A126" s="131"/>
      <c r="B126" s="132"/>
      <c r="C126" s="132"/>
      <c r="D126" s="132"/>
      <c r="E126" s="86"/>
      <c r="F126" s="86"/>
    </row>
    <row r="127" spans="1:6" ht="15.75">
      <c r="A127" s="133"/>
      <c r="B127" s="130"/>
      <c r="C127" s="132"/>
      <c r="D127" s="132"/>
      <c r="E127" s="86"/>
      <c r="F127" s="86"/>
    </row>
    <row r="128" spans="1:6" ht="15.75">
      <c r="A128" s="131"/>
      <c r="B128" s="130"/>
      <c r="C128" s="132"/>
      <c r="D128" s="132"/>
      <c r="E128" s="86"/>
      <c r="F128" s="86"/>
    </row>
    <row r="129" spans="1:6">
      <c r="A129" s="28"/>
      <c r="B129" s="28"/>
      <c r="C129" s="28"/>
      <c r="D129" s="28"/>
      <c r="E129" s="28"/>
      <c r="F129" s="28"/>
    </row>
    <row r="130" spans="1:6">
      <c r="A130" s="28"/>
      <c r="B130" s="28"/>
      <c r="C130" s="28"/>
      <c r="D130" s="28"/>
      <c r="E130" s="28"/>
      <c r="F130" s="28"/>
    </row>
    <row r="131" spans="1:6">
      <c r="A131" s="28"/>
      <c r="B131" s="28"/>
      <c r="C131" s="28"/>
      <c r="D131" s="28"/>
      <c r="E131" s="28"/>
      <c r="F131" s="28"/>
    </row>
    <row r="132" spans="1:6" ht="17.25" customHeight="1">
      <c r="A132" s="28"/>
      <c r="B132" s="28"/>
      <c r="C132" s="28"/>
      <c r="D132" s="28"/>
      <c r="E132" s="28"/>
      <c r="F132" s="28"/>
    </row>
  </sheetData>
  <sheetProtection password="F7EB" sheet="1" objects="1" scenarios="1"/>
  <mergeCells count="55">
    <mergeCell ref="AI57:AI60"/>
    <mergeCell ref="AJ57:AJ60"/>
    <mergeCell ref="AK57:AK60"/>
    <mergeCell ref="T60:W60"/>
    <mergeCell ref="AI66:AI67"/>
    <mergeCell ref="AJ66:AJ67"/>
    <mergeCell ref="AK66:AK67"/>
    <mergeCell ref="AA57:AA60"/>
    <mergeCell ref="AB57:AB60"/>
    <mergeCell ref="AC57:AC60"/>
    <mergeCell ref="AE57:AE60"/>
    <mergeCell ref="AF57:AF60"/>
    <mergeCell ref="AG57:AG60"/>
    <mergeCell ref="AA66:AA67"/>
    <mergeCell ref="AB66:AB67"/>
    <mergeCell ref="AI65:AK65"/>
    <mergeCell ref="AK51:AK54"/>
    <mergeCell ref="AA55:AA56"/>
    <mergeCell ref="AB55:AB56"/>
    <mergeCell ref="AC55:AC56"/>
    <mergeCell ref="AE55:AE56"/>
    <mergeCell ref="AF55:AF56"/>
    <mergeCell ref="AG55:AG56"/>
    <mergeCell ref="AI55:AI56"/>
    <mergeCell ref="AJ55:AJ56"/>
    <mergeCell ref="AK55:AK56"/>
    <mergeCell ref="AC51:AC54"/>
    <mergeCell ref="AE51:AE54"/>
    <mergeCell ref="AF51:AF54"/>
    <mergeCell ref="AG51:AG54"/>
    <mergeCell ref="AI51:AI54"/>
    <mergeCell ref="AJ51:AJ54"/>
    <mergeCell ref="AB51:AB54"/>
    <mergeCell ref="A1:F1"/>
    <mergeCell ref="H1:I1"/>
    <mergeCell ref="H2:I2"/>
    <mergeCell ref="H3:I3"/>
    <mergeCell ref="H4:I4"/>
    <mergeCell ref="H5:I5"/>
    <mergeCell ref="A8:B8"/>
    <mergeCell ref="C8:D8"/>
    <mergeCell ref="E12:E13"/>
    <mergeCell ref="F12:F13"/>
    <mergeCell ref="AA51:AA54"/>
    <mergeCell ref="AC66:AC67"/>
    <mergeCell ref="AD66:AD67"/>
    <mergeCell ref="AE66:AE67"/>
    <mergeCell ref="AC65:AE65"/>
    <mergeCell ref="AF65:AH65"/>
    <mergeCell ref="Z65:AB65"/>
    <mergeCell ref="Y66:Y67"/>
    <mergeCell ref="W65:Y65"/>
    <mergeCell ref="W66:W67"/>
    <mergeCell ref="X66:X67"/>
    <mergeCell ref="Z66:Z67"/>
  </mergeCells>
  <dataValidations count="6">
    <dataValidation type="whole" allowBlank="1" showErrorMessage="1" sqref="D2">
      <formula1>0</formula1>
      <formula2>6</formula2>
    </dataValidation>
    <dataValidation type="list" operator="equal" allowBlank="1" showErrorMessage="1" sqref="B3">
      <formula1>"Zone A,Zone B,Zone C"</formula1>
      <formula2>0</formula2>
    </dataValidation>
    <dataValidation type="list" operator="equal" allowBlank="1" showErrorMessage="1" sqref="F3 D4:D5">
      <formula1>"Yes,No,"</formula1>
      <formula2>0</formula2>
    </dataValidation>
    <dataValidation type="list" operator="equal" allowBlank="1" showErrorMessage="1" sqref="B5">
      <formula1>"&lt;5,5 to 7,&gt;7,"</formula1>
      <formula2>0</formula2>
    </dataValidation>
    <dataValidation type="list" operator="equal" allowBlank="1" showErrorMessage="1" sqref="B7">
      <formula1>"0,20,25,35,45,50"</formula1>
      <formula2>0</formula2>
    </dataValidation>
    <dataValidation type="list" operator="equal" allowBlank="1" showErrorMessage="1" sqref="B4">
      <formula1>"GCV Public, GCV Private, E-Cart Public, E-Cart Private, E-Cart PCV, PCV&lt;6, PCV 6 to 17, PCV&gt;17"</formula1>
    </dataValidation>
  </dataValidations>
  <hyperlinks>
    <hyperlink ref="H1" location="Motor Home Page!a1" display="Motor Home Page"/>
  </hyperlinks>
  <pageMargins left="0.78740157480314965" right="0.78740157480314965" top="1.0236220472440944" bottom="1.0236220472440944" header="0.78740157480314965" footer="0.78740157480314965"/>
  <pageSetup paperSize="9" scale="90" firstPageNumber="0" orientation="landscape" horizontalDpi="300" verticalDpi="300" r:id="rId1"/>
  <headerFooter alignWithMargins="0">
    <oddHeader>&amp;CDesigned By Prashanth Komarraju</oddHeader>
    <oddFooter>&amp;CPage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0"/>
  <sheetViews>
    <sheetView zoomScaleNormal="100" zoomScaleSheetLayoutView="51" workbookViewId="0">
      <pane ySplit="7" topLeftCell="A8" activePane="bottomLeft" state="frozen"/>
      <selection pane="bottomLeft" activeCell="H5" sqref="H5:I5"/>
    </sheetView>
  </sheetViews>
  <sheetFormatPr defaultColWidth="9.42578125" defaultRowHeight="15"/>
  <cols>
    <col min="1" max="1" width="29.42578125" style="5" customWidth="1"/>
    <col min="2" max="2" width="20" style="5" customWidth="1"/>
    <col min="3" max="3" width="27" style="5" customWidth="1"/>
    <col min="4" max="4" width="18.85546875" style="5" customWidth="1"/>
    <col min="5" max="5" width="29.140625" style="5" customWidth="1"/>
    <col min="6" max="6" width="14.28515625" style="5" customWidth="1"/>
    <col min="7" max="7" width="4.28515625" style="5" customWidth="1"/>
    <col min="8" max="8" width="16.42578125" style="5" customWidth="1"/>
    <col min="9" max="9" width="14.7109375" style="5" customWidth="1"/>
    <col min="10" max="10" width="24.42578125" style="5" customWidth="1"/>
    <col min="11" max="11" width="9.42578125" style="5"/>
    <col min="12" max="12" width="10.140625" style="5" customWidth="1"/>
    <col min="13" max="14" width="9.42578125" style="5"/>
    <col min="15" max="15" width="11.42578125" style="5" customWidth="1"/>
    <col min="16" max="16" width="11.28515625" style="5" customWidth="1"/>
    <col min="17" max="16384" width="9.42578125" style="5"/>
  </cols>
  <sheetData>
    <row r="1" spans="1:17" s="7" customFormat="1" ht="29.1" customHeight="1">
      <c r="A1" s="1078" t="s">
        <v>36</v>
      </c>
      <c r="B1" s="1078"/>
      <c r="C1" s="1078"/>
      <c r="D1" s="1078"/>
      <c r="E1" s="1078"/>
      <c r="F1" s="1078"/>
      <c r="G1" s="161"/>
      <c r="H1" s="1089" t="s">
        <v>5</v>
      </c>
      <c r="I1" s="1089"/>
    </row>
    <row r="2" spans="1:17" ht="29.25" customHeight="1">
      <c r="A2" s="283" t="s">
        <v>301</v>
      </c>
      <c r="B2" s="215">
        <v>545646</v>
      </c>
      <c r="C2" s="287" t="s">
        <v>260</v>
      </c>
      <c r="D2" s="166">
        <v>42000</v>
      </c>
      <c r="E2" s="291" t="s">
        <v>261</v>
      </c>
      <c r="F2" s="175">
        <v>0</v>
      </c>
      <c r="G2" s="112"/>
      <c r="H2" s="1009" t="s">
        <v>9</v>
      </c>
      <c r="I2" s="1009"/>
    </row>
    <row r="3" spans="1:17" ht="36.75" customHeight="1">
      <c r="A3" s="284" t="s">
        <v>148</v>
      </c>
      <c r="B3" s="216" t="s">
        <v>46</v>
      </c>
      <c r="C3" s="288" t="s">
        <v>149</v>
      </c>
      <c r="D3" s="206">
        <v>0</v>
      </c>
      <c r="E3" s="292" t="s">
        <v>150</v>
      </c>
      <c r="F3" s="197" t="s">
        <v>50</v>
      </c>
      <c r="G3" s="112"/>
      <c r="H3" s="1006" t="s">
        <v>15</v>
      </c>
      <c r="I3" s="1006"/>
    </row>
    <row r="4" spans="1:17" ht="27.2" customHeight="1">
      <c r="A4" s="285" t="s">
        <v>512</v>
      </c>
      <c r="B4" s="761" t="s">
        <v>626</v>
      </c>
      <c r="C4" s="289" t="s">
        <v>152</v>
      </c>
      <c r="D4" s="206" t="s">
        <v>50</v>
      </c>
      <c r="E4" s="293" t="s">
        <v>153</v>
      </c>
      <c r="F4" s="178">
        <v>0</v>
      </c>
      <c r="G4" s="112"/>
      <c r="H4" s="1006" t="s">
        <v>632</v>
      </c>
      <c r="I4" s="1006"/>
    </row>
    <row r="5" spans="1:17" ht="32.25" customHeight="1" thickBot="1">
      <c r="A5" s="285" t="s">
        <v>151</v>
      </c>
      <c r="B5" s="217" t="s">
        <v>17</v>
      </c>
      <c r="C5" s="290" t="s">
        <v>302</v>
      </c>
      <c r="D5" s="207">
        <v>0</v>
      </c>
      <c r="E5" s="294" t="s">
        <v>262</v>
      </c>
      <c r="F5" s="180">
        <v>0</v>
      </c>
      <c r="G5" s="112"/>
      <c r="H5" s="1006" t="s">
        <v>483</v>
      </c>
      <c r="I5" s="1006"/>
    </row>
    <row r="6" spans="1:17" ht="30" customHeight="1" thickBot="1">
      <c r="A6" s="286" t="s">
        <v>154</v>
      </c>
      <c r="B6" s="218">
        <v>25</v>
      </c>
      <c r="C6" s="282" t="s">
        <v>297</v>
      </c>
      <c r="D6" s="111">
        <v>0</v>
      </c>
      <c r="E6" s="85"/>
      <c r="F6" s="85"/>
      <c r="G6" s="112"/>
      <c r="H6" s="15"/>
    </row>
    <row r="7" spans="1:17" ht="32.25" hidden="1" customHeight="1" thickBot="1">
      <c r="E7" s="219"/>
      <c r="F7" s="219"/>
      <c r="G7" s="112"/>
    </row>
    <row r="8" spans="1:17" ht="17.25" customHeight="1">
      <c r="A8" s="1097" t="s">
        <v>155</v>
      </c>
      <c r="B8" s="1097"/>
      <c r="C8" s="1098" t="s">
        <v>156</v>
      </c>
      <c r="D8" s="1098"/>
      <c r="E8" s="17"/>
      <c r="G8" s="15"/>
    </row>
    <row r="9" spans="1:17" ht="15.75" customHeight="1">
      <c r="A9" s="118" t="s">
        <v>23</v>
      </c>
      <c r="B9" s="170">
        <f>IF(B4="Tractor &amp; Trailer",IF($B$3="zone a",$P$63,IF($B$3="zone b",$P$64,IF($B$3="zone c",$P$65,0))),IF(B2&lt;&gt;0,1.05,0))</f>
        <v>1.05</v>
      </c>
      <c r="C9" s="181" t="s">
        <v>158</v>
      </c>
      <c r="D9" s="182">
        <f>IF(B4="Tractor &amp; Trailer",IF($L$59="&lt;7500",15746,IF($L$59="7501-12000",26935,IF($L$59="12001-20000",33418,IF($L$59="20001-40000",43037,IF($L$59="&gt;40000",41561,0))))),0)</f>
        <v>0</v>
      </c>
      <c r="E9" s="117"/>
      <c r="F9" s="117"/>
      <c r="G9" s="15"/>
      <c r="J9" s="52"/>
      <c r="K9" s="52"/>
      <c r="L9" s="90"/>
      <c r="M9" s="90"/>
      <c r="N9" s="90"/>
      <c r="O9" s="90"/>
      <c r="P9" s="90"/>
      <c r="Q9" s="90"/>
    </row>
    <row r="10" spans="1:17" ht="19.5" customHeight="1">
      <c r="A10" s="220" t="s">
        <v>157</v>
      </c>
      <c r="B10" s="171">
        <f>IF(B4="Tractor &amp; Trailer",$B$2*$B$9%,D5*B9%)</f>
        <v>0</v>
      </c>
      <c r="C10" s="183" t="s">
        <v>303</v>
      </c>
      <c r="D10" s="182">
        <v>2341</v>
      </c>
      <c r="E10" s="86"/>
      <c r="F10" s="28"/>
      <c r="G10" s="15"/>
      <c r="J10" s="52"/>
      <c r="K10" s="52"/>
      <c r="L10" s="90"/>
      <c r="M10" s="90"/>
      <c r="N10" s="90"/>
      <c r="O10" s="90"/>
      <c r="P10" s="90"/>
      <c r="Q10" s="90"/>
    </row>
    <row r="11" spans="1:17" ht="18.75" customHeight="1">
      <c r="A11" s="118" t="s">
        <v>263</v>
      </c>
      <c r="B11" s="170">
        <f>IF(B2&lt;&gt;0,IF($L$59="&lt;7500",0,IF($L$59="7501-12000",0,IF(OR($L$59="12001-20000",$L$59="20001-40000",$L$59="&gt;40000"),($D$2-12000)*0.27,0))),0)</f>
        <v>8100.0000000000009</v>
      </c>
      <c r="C11" s="183" t="s">
        <v>160</v>
      </c>
      <c r="D11" s="182">
        <f>IF($F$3="yes",275,0)</f>
        <v>0</v>
      </c>
      <c r="E11" s="117"/>
      <c r="F11" s="117"/>
      <c r="G11" s="15"/>
      <c r="J11" s="57"/>
      <c r="K11" s="57"/>
      <c r="L11" s="49"/>
      <c r="M11" s="49"/>
      <c r="N11" s="49"/>
      <c r="O11" s="49"/>
      <c r="P11" s="49"/>
      <c r="Q11" s="90"/>
    </row>
    <row r="12" spans="1:17" ht="32.25" customHeight="1">
      <c r="A12" s="189" t="s">
        <v>266</v>
      </c>
      <c r="B12" s="221">
        <f>$F$2*0.04*(1-D3%)</f>
        <v>0</v>
      </c>
      <c r="C12" s="183" t="s">
        <v>264</v>
      </c>
      <c r="D12" s="182">
        <f>$F$4*50</f>
        <v>0</v>
      </c>
      <c r="E12" s="17"/>
      <c r="G12" s="15"/>
      <c r="J12" s="57"/>
      <c r="K12" s="57"/>
      <c r="L12" s="49"/>
      <c r="M12" s="49"/>
      <c r="N12" s="49"/>
      <c r="O12" s="49"/>
      <c r="P12" s="49"/>
      <c r="Q12" s="90"/>
    </row>
    <row r="13" spans="1:17" ht="15.75">
      <c r="A13" s="189" t="s">
        <v>268</v>
      </c>
      <c r="B13" s="221">
        <f>$D$6*0.04</f>
        <v>0</v>
      </c>
      <c r="C13" s="181" t="s">
        <v>304</v>
      </c>
      <c r="D13" s="222">
        <f>IF($B$12=0,0,60)</f>
        <v>0</v>
      </c>
      <c r="E13" s="184" t="s">
        <v>163</v>
      </c>
      <c r="F13" s="223">
        <f>SUM($D$16:$D$17)</f>
        <v>9790.42</v>
      </c>
      <c r="G13" s="15"/>
      <c r="J13" s="57"/>
      <c r="K13" s="57"/>
      <c r="L13" s="49"/>
      <c r="M13" s="49"/>
      <c r="N13" s="49"/>
      <c r="O13" s="49"/>
      <c r="P13" s="49"/>
      <c r="Q13" s="90"/>
    </row>
    <row r="14" spans="1:17" ht="15.75">
      <c r="A14" s="120" t="s">
        <v>30</v>
      </c>
      <c r="B14" s="173">
        <f>$D$3%*($B$10+$B$11)</f>
        <v>0</v>
      </c>
      <c r="C14" s="183" t="s">
        <v>267</v>
      </c>
      <c r="D14" s="182">
        <f>$F$5*75</f>
        <v>0</v>
      </c>
      <c r="E14" s="187"/>
      <c r="F14" s="224"/>
      <c r="G14" s="15"/>
      <c r="J14" s="57"/>
      <c r="K14" s="57"/>
      <c r="L14" s="49"/>
      <c r="M14" s="49"/>
      <c r="N14" s="49"/>
      <c r="O14" s="49"/>
      <c r="P14" s="49"/>
      <c r="Q14" s="90"/>
    </row>
    <row r="15" spans="1:17">
      <c r="A15" s="120" t="s">
        <v>165</v>
      </c>
      <c r="B15" s="173">
        <f>B10+B11+B12+B13-B14</f>
        <v>8100.0000000000009</v>
      </c>
      <c r="C15" s="225" t="s">
        <v>166</v>
      </c>
      <c r="D15" s="186">
        <f>SUM($D$9:$D$14)</f>
        <v>2341</v>
      </c>
      <c r="E15" s="123"/>
      <c r="F15" s="117"/>
      <c r="G15" s="15"/>
      <c r="J15" s="57"/>
      <c r="K15" s="57"/>
      <c r="L15" s="49"/>
      <c r="M15" s="49"/>
      <c r="N15" s="49"/>
      <c r="O15" s="49"/>
      <c r="P15" s="49"/>
      <c r="Q15" s="90"/>
    </row>
    <row r="16" spans="1:17">
      <c r="A16" s="120" t="s">
        <v>167</v>
      </c>
      <c r="B16" s="124">
        <f>IF($D$4="yes",0.15*B15,0)</f>
        <v>0</v>
      </c>
      <c r="C16" s="226" t="s">
        <v>33</v>
      </c>
      <c r="D16" s="182">
        <f>$D$15+$B$21</f>
        <v>8416</v>
      </c>
      <c r="E16" s="17"/>
      <c r="G16" s="15"/>
      <c r="J16" s="57"/>
      <c r="K16" s="57"/>
      <c r="L16" s="49"/>
      <c r="M16" s="49"/>
      <c r="N16" s="49"/>
      <c r="O16" s="49"/>
      <c r="P16" s="49"/>
      <c r="Q16" s="90"/>
    </row>
    <row r="17" spans="1:16" ht="18" customHeight="1">
      <c r="A17" s="118" t="s">
        <v>270</v>
      </c>
      <c r="B17" s="73">
        <f>$B$15+$B$16</f>
        <v>8100.0000000000009</v>
      </c>
      <c r="C17" s="227" t="s">
        <v>169</v>
      </c>
      <c r="D17" s="190">
        <f>12%*(D13+D9+D10)+18%*(D11+D12+D14+B21)</f>
        <v>1374.4200000000003</v>
      </c>
      <c r="E17" s="86"/>
      <c r="F17" s="86"/>
      <c r="G17" s="15"/>
      <c r="J17" s="57"/>
      <c r="K17" s="57"/>
      <c r="L17" s="57"/>
      <c r="M17" s="57"/>
      <c r="N17" s="57"/>
      <c r="O17" s="57"/>
      <c r="P17" s="57"/>
    </row>
    <row r="18" spans="1:16" ht="18" customHeight="1">
      <c r="A18" s="118" t="s">
        <v>305</v>
      </c>
      <c r="B18" s="228">
        <f>IF(D5&lt;&gt;0,1.05,0)</f>
        <v>0</v>
      </c>
      <c r="C18" s="17"/>
      <c r="D18" s="17"/>
      <c r="E18" s="86"/>
      <c r="F18" s="86"/>
      <c r="G18" s="15"/>
      <c r="J18" s="57"/>
      <c r="K18" s="57"/>
      <c r="L18" s="57"/>
      <c r="M18" s="57"/>
      <c r="N18" s="57"/>
      <c r="O18" s="57"/>
      <c r="P18" s="57"/>
    </row>
    <row r="19" spans="1:16">
      <c r="A19" s="118" t="s">
        <v>306</v>
      </c>
      <c r="B19" s="73">
        <f>IF(B18&lt;&gt;0,B18%*D5,0)</f>
        <v>0</v>
      </c>
      <c r="C19" s="86"/>
      <c r="D19" s="17"/>
      <c r="E19" s="17"/>
      <c r="F19" s="86"/>
      <c r="G19" s="15"/>
      <c r="J19" s="57"/>
      <c r="K19" s="57"/>
      <c r="L19" s="57"/>
      <c r="M19" s="57"/>
      <c r="N19" s="57"/>
      <c r="O19" s="57"/>
      <c r="P19" s="57"/>
    </row>
    <row r="20" spans="1:16">
      <c r="A20" s="220" t="s">
        <v>271</v>
      </c>
      <c r="B20" s="173">
        <f>$B$6%*($B$17)</f>
        <v>2025.0000000000002</v>
      </c>
      <c r="C20" s="130"/>
      <c r="D20" s="130"/>
      <c r="E20" s="130"/>
      <c r="F20" s="86"/>
    </row>
    <row r="21" spans="1:16">
      <c r="A21" s="229" t="s">
        <v>35</v>
      </c>
      <c r="B21" s="174">
        <f>$B$17+$B$19-$B$20</f>
        <v>6075.0000000000009</v>
      </c>
      <c r="C21" s="132"/>
      <c r="D21" s="132"/>
      <c r="E21" s="132"/>
      <c r="F21" s="86"/>
      <c r="G21" s="15"/>
    </row>
    <row r="22" spans="1:16">
      <c r="A22" s="17"/>
      <c r="B22" s="17"/>
      <c r="C22" s="132"/>
      <c r="D22" s="132"/>
      <c r="E22" s="132"/>
      <c r="F22" s="86"/>
      <c r="G22" s="15"/>
    </row>
    <row r="23" spans="1:16">
      <c r="A23" s="17"/>
      <c r="B23" s="17"/>
      <c r="C23" s="132"/>
      <c r="D23" s="132"/>
      <c r="E23" s="132"/>
      <c r="F23" s="86"/>
      <c r="G23" s="15"/>
    </row>
    <row r="24" spans="1:16">
      <c r="A24" s="117"/>
      <c r="B24" s="117"/>
      <c r="C24" s="117"/>
      <c r="D24" s="86"/>
      <c r="E24" s="86"/>
      <c r="F24" s="117"/>
      <c r="G24" s="15"/>
    </row>
    <row r="25" spans="1:16" ht="23.25">
      <c r="A25" s="129"/>
      <c r="B25" s="132"/>
      <c r="C25" s="117"/>
      <c r="D25" s="86"/>
      <c r="E25" s="86"/>
      <c r="F25" s="117"/>
    </row>
    <row r="26" spans="1:16" ht="39.75" customHeight="1">
      <c r="A26" s="117"/>
      <c r="B26" s="134"/>
      <c r="C26" s="134"/>
      <c r="D26" s="134"/>
      <c r="E26" s="134"/>
      <c r="F26" s="117"/>
    </row>
    <row r="27" spans="1:16" ht="15.75">
      <c r="A27" s="131"/>
      <c r="B27" s="135"/>
      <c r="C27" s="130"/>
      <c r="D27" s="132"/>
      <c r="E27" s="132"/>
      <c r="F27" s="117"/>
    </row>
    <row r="28" spans="1:16" ht="15.4" customHeight="1">
      <c r="A28" s="133"/>
      <c r="B28" s="130"/>
      <c r="C28" s="130"/>
      <c r="D28" s="130"/>
      <c r="E28" s="130"/>
      <c r="F28" s="117"/>
      <c r="G28" s="136"/>
    </row>
    <row r="29" spans="1:16" ht="17.25" customHeight="1">
      <c r="A29" s="131"/>
      <c r="B29" s="132"/>
      <c r="C29" s="132"/>
      <c r="D29" s="132"/>
      <c r="E29" s="132"/>
      <c r="F29" s="86"/>
      <c r="G29" s="136"/>
    </row>
    <row r="30" spans="1:16">
      <c r="A30" s="86"/>
      <c r="B30" s="86"/>
      <c r="C30" s="86"/>
      <c r="D30" s="86"/>
      <c r="E30" s="86"/>
      <c r="F30" s="86"/>
      <c r="G30" s="136"/>
    </row>
    <row r="31" spans="1:16" ht="23.25">
      <c r="A31" s="129"/>
      <c r="B31" s="117"/>
      <c r="C31" s="117"/>
      <c r="D31" s="117"/>
      <c r="E31" s="117"/>
      <c r="F31" s="86"/>
      <c r="G31" s="136"/>
    </row>
    <row r="32" spans="1:16">
      <c r="A32" s="117"/>
      <c r="B32" s="134"/>
      <c r="C32" s="134"/>
      <c r="D32" s="134"/>
      <c r="E32" s="134"/>
      <c r="F32" s="86"/>
    </row>
    <row r="33" spans="1:7" ht="27.75" customHeight="1">
      <c r="A33" s="131"/>
      <c r="B33" s="130"/>
      <c r="C33" s="130"/>
      <c r="D33" s="130"/>
      <c r="E33" s="130"/>
      <c r="F33" s="86"/>
    </row>
    <row r="34" spans="1:7" ht="15.75">
      <c r="A34" s="133"/>
      <c r="B34" s="137"/>
      <c r="C34" s="137"/>
      <c r="D34" s="137"/>
      <c r="E34" s="130"/>
      <c r="F34" s="86"/>
    </row>
    <row r="35" spans="1:7" ht="15.75">
      <c r="A35" s="131"/>
      <c r="B35" s="137"/>
      <c r="C35" s="130"/>
      <c r="D35" s="130"/>
      <c r="E35" s="130"/>
      <c r="F35" s="86"/>
      <c r="G35" s="136"/>
    </row>
    <row r="36" spans="1:7" ht="15.75" customHeight="1">
      <c r="A36" s="133"/>
      <c r="B36" s="132"/>
      <c r="C36" s="132"/>
      <c r="D36" s="132"/>
      <c r="E36" s="86"/>
      <c r="F36" s="86"/>
      <c r="G36" s="136"/>
    </row>
    <row r="37" spans="1:7" ht="15.75">
      <c r="A37" s="131"/>
      <c r="B37" s="130"/>
      <c r="C37" s="130"/>
      <c r="D37" s="130"/>
      <c r="E37" s="86"/>
      <c r="F37" s="86"/>
      <c r="G37" s="136"/>
    </row>
    <row r="38" spans="1:7">
      <c r="A38" s="117"/>
      <c r="B38" s="132"/>
      <c r="C38" s="132"/>
      <c r="D38" s="132"/>
      <c r="E38" s="86"/>
      <c r="F38" s="86"/>
      <c r="G38" s="136"/>
    </row>
    <row r="39" spans="1:7" ht="36.75" customHeight="1">
      <c r="A39" s="138"/>
      <c r="B39" s="86"/>
      <c r="C39" s="123"/>
      <c r="D39" s="123"/>
      <c r="E39" s="86"/>
      <c r="F39" s="86"/>
    </row>
    <row r="40" spans="1:7" ht="22.5" customHeight="1">
      <c r="A40" s="117"/>
      <c r="B40" s="139"/>
      <c r="C40" s="139"/>
      <c r="D40" s="139"/>
      <c r="E40" s="86"/>
      <c r="F40" s="86"/>
    </row>
    <row r="41" spans="1:7" ht="18" customHeight="1">
      <c r="A41" s="131"/>
      <c r="B41" s="132"/>
      <c r="C41" s="132"/>
      <c r="D41" s="132"/>
      <c r="E41" s="86"/>
      <c r="F41" s="86"/>
    </row>
    <row r="42" spans="1:7" ht="2.25" customHeight="1">
      <c r="A42" s="133"/>
      <c r="B42" s="132"/>
      <c r="C42" s="132"/>
      <c r="D42" s="132"/>
      <c r="E42" s="86"/>
      <c r="F42" s="86"/>
    </row>
    <row r="43" spans="1:7" ht="15.75" hidden="1">
      <c r="A43" s="131"/>
      <c r="B43" s="132"/>
      <c r="C43" s="132"/>
      <c r="D43" s="132"/>
      <c r="E43" s="86"/>
      <c r="F43" s="86"/>
    </row>
    <row r="44" spans="1:7" ht="36.75" customHeight="1"/>
    <row r="49" spans="12:38">
      <c r="L49" s="49"/>
      <c r="M49" s="49"/>
      <c r="N49" s="49"/>
      <c r="O49" s="49" t="s">
        <v>272</v>
      </c>
      <c r="P49" s="49"/>
      <c r="Q49" s="49"/>
      <c r="R49" s="49"/>
      <c r="S49" s="49"/>
      <c r="T49" s="49"/>
      <c r="U49" s="49"/>
      <c r="V49" s="49"/>
      <c r="W49" s="49"/>
      <c r="X49" s="49"/>
      <c r="Z49" s="140"/>
      <c r="AA49" s="140"/>
      <c r="AB49" s="140"/>
      <c r="AC49" s="141"/>
      <c r="AD49" s="141"/>
      <c r="AE49" s="1076"/>
      <c r="AF49" s="1076"/>
      <c r="AG49" s="1075"/>
      <c r="AH49" s="141"/>
      <c r="AI49" s="1076"/>
      <c r="AJ49" s="1076"/>
      <c r="AK49" s="1075"/>
      <c r="AL49" s="141"/>
    </row>
    <row r="50" spans="12:38">
      <c r="L50" s="49"/>
      <c r="M50" s="49"/>
      <c r="N50" s="49"/>
      <c r="O50" s="49" t="s">
        <v>273</v>
      </c>
      <c r="P50" s="49"/>
      <c r="Q50" s="49"/>
      <c r="R50" s="49"/>
      <c r="S50" s="49"/>
      <c r="T50" s="49"/>
      <c r="U50" s="49"/>
      <c r="V50" s="49"/>
      <c r="W50" s="49"/>
      <c r="X50" s="49" t="str">
        <f>IF($B$5="&lt;5",$T$52,IF($B$5="5 to 7",$T$53,IF($B$5="&gt;7",$T$54,0)))</f>
        <v>&lt;5</v>
      </c>
      <c r="Z50" s="140"/>
      <c r="AA50" s="140"/>
      <c r="AB50" s="140"/>
      <c r="AC50" s="141"/>
      <c r="AD50" s="141"/>
      <c r="AE50" s="1076"/>
      <c r="AF50" s="1076"/>
      <c r="AG50" s="1075"/>
      <c r="AH50" s="141"/>
      <c r="AI50" s="1076"/>
      <c r="AJ50" s="1076"/>
      <c r="AK50" s="1075"/>
      <c r="AL50" s="141"/>
    </row>
    <row r="51" spans="12:38">
      <c r="L51" s="49"/>
      <c r="M51" s="49"/>
      <c r="N51" s="49"/>
      <c r="O51" s="49" t="s">
        <v>274</v>
      </c>
      <c r="P51" s="49"/>
      <c r="Q51" s="49"/>
      <c r="R51" s="49"/>
      <c r="S51" s="49">
        <v>0</v>
      </c>
      <c r="T51" s="49"/>
      <c r="U51" s="49"/>
      <c r="V51" s="49"/>
      <c r="W51" s="49"/>
      <c r="X51" s="49"/>
      <c r="Z51" s="140"/>
      <c r="AA51" s="140"/>
      <c r="AB51" s="140"/>
      <c r="AC51" s="141"/>
      <c r="AD51" s="142"/>
      <c r="AE51" s="1076"/>
      <c r="AF51" s="1076"/>
      <c r="AG51" s="1075"/>
      <c r="AH51" s="142"/>
      <c r="AI51" s="1076"/>
      <c r="AJ51" s="1076"/>
      <c r="AK51" s="1075"/>
      <c r="AL51" s="142"/>
    </row>
    <row r="52" spans="12:38" ht="47.25">
      <c r="L52" s="49"/>
      <c r="M52" s="49"/>
      <c r="N52" s="49"/>
      <c r="O52" s="49" t="s">
        <v>275</v>
      </c>
      <c r="P52" s="49"/>
      <c r="Q52" s="49"/>
      <c r="R52" s="49"/>
      <c r="S52" s="49">
        <v>20</v>
      </c>
      <c r="T52" s="49" t="s">
        <v>17</v>
      </c>
      <c r="U52" s="49"/>
      <c r="V52" s="49"/>
      <c r="W52" s="49"/>
      <c r="X52" s="49"/>
      <c r="Z52" s="230" t="s">
        <v>276</v>
      </c>
      <c r="AA52" s="231" t="s">
        <v>277</v>
      </c>
      <c r="AB52" s="231" t="s">
        <v>278</v>
      </c>
      <c r="AC52" s="232" t="s">
        <v>279</v>
      </c>
      <c r="AD52" s="142"/>
      <c r="AE52" s="1076"/>
      <c r="AF52" s="1076"/>
      <c r="AG52" s="1075"/>
      <c r="AH52" s="142"/>
      <c r="AI52" s="1076"/>
      <c r="AJ52" s="1076"/>
      <c r="AK52" s="1075"/>
      <c r="AL52" s="142"/>
    </row>
    <row r="53" spans="12:38" ht="15.75">
      <c r="L53" s="49"/>
      <c r="M53" s="49"/>
      <c r="N53" s="49"/>
      <c r="O53" s="49" t="s">
        <v>280</v>
      </c>
      <c r="P53" s="49"/>
      <c r="Q53" s="49"/>
      <c r="R53" s="49"/>
      <c r="S53" s="49">
        <v>25</v>
      </c>
      <c r="T53" s="49" t="s">
        <v>170</v>
      </c>
      <c r="U53" s="49"/>
      <c r="V53" s="49"/>
      <c r="W53" s="49"/>
      <c r="X53" s="49"/>
      <c r="Z53" s="233"/>
      <c r="AA53" s="234"/>
      <c r="AB53" s="234"/>
      <c r="AC53" s="235"/>
      <c r="AD53" s="141"/>
      <c r="AE53" s="1076"/>
      <c r="AF53" s="1076"/>
      <c r="AG53" s="1075"/>
      <c r="AH53" s="141"/>
      <c r="AI53" s="1076"/>
      <c r="AJ53" s="1076"/>
      <c r="AK53" s="1075"/>
      <c r="AL53" s="141"/>
    </row>
    <row r="54" spans="12:38" ht="60.75" customHeight="1">
      <c r="L54" s="49"/>
      <c r="M54" s="49"/>
      <c r="N54" s="49"/>
      <c r="O54" s="49"/>
      <c r="P54" s="49"/>
      <c r="Q54" s="49"/>
      <c r="R54" s="49"/>
      <c r="S54" s="49">
        <v>35</v>
      </c>
      <c r="T54" s="49">
        <v>7.1</v>
      </c>
      <c r="U54" s="49"/>
      <c r="V54" s="49"/>
      <c r="W54" s="49"/>
      <c r="X54" s="49"/>
      <c r="Z54" s="236" t="s">
        <v>281</v>
      </c>
      <c r="AA54" s="237">
        <v>1.726</v>
      </c>
      <c r="AB54" s="237">
        <v>1.7429999999999999</v>
      </c>
      <c r="AC54" s="238">
        <v>1.7509999999999999</v>
      </c>
      <c r="AD54" s="141"/>
      <c r="AE54" s="1076"/>
      <c r="AF54" s="1076"/>
      <c r="AG54" s="1075"/>
      <c r="AH54" s="141"/>
      <c r="AI54" s="1076"/>
      <c r="AJ54" s="1076"/>
      <c r="AK54" s="1075"/>
      <c r="AL54" s="141"/>
    </row>
    <row r="55" spans="12:38" ht="110.25">
      <c r="L55" s="49"/>
      <c r="M55" s="49"/>
      <c r="N55" s="49"/>
      <c r="O55" s="49"/>
      <c r="P55" s="49"/>
      <c r="Q55" s="49"/>
      <c r="R55" s="49"/>
      <c r="S55" s="49">
        <v>45</v>
      </c>
      <c r="T55" s="49"/>
      <c r="U55" s="49"/>
      <c r="V55" s="49"/>
      <c r="W55" s="49"/>
      <c r="X55" s="49"/>
      <c r="Z55" s="236" t="s">
        <v>282</v>
      </c>
      <c r="AA55" s="237">
        <v>1.77</v>
      </c>
      <c r="AB55" s="237">
        <v>1.7869999999999999</v>
      </c>
      <c r="AC55" s="238">
        <v>1.7949999999999999</v>
      </c>
      <c r="AD55" s="141"/>
      <c r="AE55" s="1076"/>
      <c r="AF55" s="1076"/>
      <c r="AG55" s="1075"/>
      <c r="AH55" s="141"/>
      <c r="AI55" s="1076"/>
      <c r="AJ55" s="1076"/>
      <c r="AK55" s="1075"/>
      <c r="AL55" s="141"/>
    </row>
    <row r="56" spans="12:38" ht="36.75" customHeight="1">
      <c r="L56" s="49"/>
      <c r="M56" s="49"/>
      <c r="N56" s="49"/>
      <c r="O56" s="49"/>
      <c r="P56" s="49"/>
      <c r="Q56" s="49"/>
      <c r="R56" s="49"/>
      <c r="S56" s="49">
        <v>50</v>
      </c>
      <c r="T56" s="49"/>
      <c r="U56" s="49"/>
      <c r="V56" s="49"/>
      <c r="W56" s="49"/>
      <c r="X56" s="49"/>
      <c r="Z56" s="239" t="s">
        <v>283</v>
      </c>
      <c r="AA56" s="240">
        <v>1.8120000000000001</v>
      </c>
      <c r="AB56" s="240">
        <v>1.83</v>
      </c>
      <c r="AC56" s="241">
        <v>1.839</v>
      </c>
      <c r="AD56" s="141"/>
      <c r="AE56" s="1076"/>
      <c r="AF56" s="1076"/>
      <c r="AG56" s="1075"/>
      <c r="AH56" s="141"/>
      <c r="AI56" s="1076"/>
      <c r="AJ56" s="1076"/>
      <c r="AK56" s="1075"/>
      <c r="AL56" s="141"/>
    </row>
    <row r="57" spans="12:38">
      <c r="L57" s="49"/>
      <c r="M57" s="49"/>
      <c r="N57" s="49"/>
      <c r="O57" s="49"/>
      <c r="P57" s="49"/>
      <c r="Q57" s="49"/>
      <c r="R57" s="49"/>
      <c r="S57" s="49"/>
      <c r="T57" s="49"/>
      <c r="U57" s="49"/>
      <c r="V57" s="49"/>
      <c r="W57" s="49"/>
      <c r="X57" s="49"/>
      <c r="Z57" s="140"/>
      <c r="AA57" s="140"/>
      <c r="AB57" s="140"/>
      <c r="AC57" s="141"/>
      <c r="AD57" s="142"/>
      <c r="AE57" s="1076"/>
      <c r="AF57" s="1076"/>
      <c r="AG57" s="1075"/>
      <c r="AH57" s="142"/>
      <c r="AI57" s="1076"/>
      <c r="AJ57" s="1076"/>
      <c r="AK57" s="1075"/>
      <c r="AL57" s="142"/>
    </row>
    <row r="58" spans="12:38" ht="15.75">
      <c r="L58" s="49" t="s">
        <v>284</v>
      </c>
      <c r="M58" s="49" t="s">
        <v>285</v>
      </c>
      <c r="N58" s="49" t="s">
        <v>171</v>
      </c>
      <c r="O58" s="144" t="s">
        <v>172</v>
      </c>
      <c r="P58" s="144" t="s">
        <v>173</v>
      </c>
      <c r="Q58" s="144" t="s">
        <v>174</v>
      </c>
      <c r="R58" s="145"/>
      <c r="S58" s="49"/>
      <c r="T58" s="205"/>
      <c r="U58" s="205"/>
      <c r="V58" s="205"/>
      <c r="W58" s="205"/>
      <c r="X58" s="49"/>
      <c r="Z58" s="242"/>
      <c r="AA58" s="140"/>
      <c r="AB58" s="140"/>
      <c r="AC58" s="141"/>
      <c r="AD58" s="142"/>
      <c r="AE58" s="1076"/>
      <c r="AF58" s="1076"/>
      <c r="AG58" s="1075"/>
      <c r="AH58" s="142"/>
      <c r="AI58" s="1076"/>
      <c r="AJ58" s="1076"/>
      <c r="AK58" s="1075"/>
      <c r="AL58" s="142"/>
    </row>
    <row r="59" spans="12:38" ht="20.25" customHeight="1">
      <c r="L59" s="49" t="str">
        <f>IF(D2&gt;40000,O53,IF(D2&gt;20000,O52,IF(D2&gt;12000,O51,IF(D2&gt;7500,O50,IF(D2&gt;0,O49,0)))))</f>
        <v>&gt;40000</v>
      </c>
      <c r="M59" s="49" t="s">
        <v>17</v>
      </c>
      <c r="N59" s="49" t="s">
        <v>14</v>
      </c>
      <c r="O59" s="49" t="str">
        <f>IF($B$5="&lt;5",$T$52,IF($B$5="5 to 7",$T$53,IF($B$5="&gt;7",$T$54,0)))</f>
        <v>&lt;5</v>
      </c>
      <c r="P59" s="49" t="s">
        <v>46</v>
      </c>
      <c r="Q59" s="49">
        <f>IF($D$2="&lt;1000",$U$60,IF($D$2="1000-1500",$V$60,IF($D$2="&gt;1500",$W$60,0)))</f>
        <v>0</v>
      </c>
      <c r="R59" s="49"/>
      <c r="S59" s="49"/>
      <c r="T59" s="49" t="s">
        <v>17</v>
      </c>
      <c r="U59" s="49"/>
      <c r="V59" s="49"/>
      <c r="W59" s="49"/>
      <c r="X59" s="49"/>
      <c r="Z59" s="214"/>
      <c r="AA59" s="214"/>
      <c r="AB59" s="214"/>
      <c r="AC59" s="214"/>
      <c r="AD59" s="214"/>
      <c r="AE59" s="214"/>
      <c r="AF59" s="214"/>
      <c r="AG59" s="28"/>
      <c r="AH59" s="28"/>
      <c r="AI59" s="28"/>
      <c r="AJ59" s="28"/>
      <c r="AK59" s="28"/>
      <c r="AL59" s="28"/>
    </row>
    <row r="60" spans="12:38">
      <c r="L60" s="49"/>
      <c r="M60" s="49" t="s">
        <v>170</v>
      </c>
      <c r="N60" s="49" t="s">
        <v>50</v>
      </c>
      <c r="O60" s="49"/>
      <c r="P60" s="49" t="s">
        <v>11</v>
      </c>
      <c r="Q60" s="49"/>
      <c r="R60" s="49"/>
      <c r="S60" s="49"/>
      <c r="T60" s="49" t="s">
        <v>170</v>
      </c>
      <c r="U60" s="55"/>
      <c r="V60" s="55"/>
      <c r="W60" s="55"/>
      <c r="X60" s="49"/>
      <c r="Z60" s="214"/>
      <c r="AA60" s="214"/>
      <c r="AB60" s="214"/>
      <c r="AC60" s="214"/>
      <c r="AD60" s="214"/>
      <c r="AE60" s="214"/>
      <c r="AF60" s="214"/>
      <c r="AG60" s="28"/>
      <c r="AH60" s="28"/>
      <c r="AI60" s="28"/>
      <c r="AJ60" s="28"/>
      <c r="AK60" s="28"/>
      <c r="AL60" s="28"/>
    </row>
    <row r="61" spans="12:38">
      <c r="L61" s="49"/>
      <c r="M61" s="49" t="s">
        <v>195</v>
      </c>
      <c r="N61" s="49"/>
      <c r="O61" s="49"/>
      <c r="P61" s="49" t="s">
        <v>213</v>
      </c>
      <c r="Q61" s="49"/>
      <c r="R61" s="49"/>
      <c r="S61" s="49"/>
      <c r="T61" s="49">
        <v>7.1</v>
      </c>
      <c r="U61" s="55"/>
      <c r="V61" s="55"/>
      <c r="W61" s="55"/>
      <c r="X61" s="49"/>
      <c r="Z61" s="214"/>
      <c r="AA61" s="214"/>
      <c r="AB61" s="214"/>
      <c r="AC61" s="214"/>
      <c r="AD61" s="214"/>
      <c r="AE61" s="214"/>
      <c r="AF61" s="214"/>
      <c r="AG61" s="28"/>
      <c r="AH61" s="243"/>
      <c r="AI61" s="28"/>
      <c r="AJ61" s="28"/>
      <c r="AK61" s="28"/>
      <c r="AL61" s="28"/>
    </row>
    <row r="62" spans="12:38">
      <c r="L62" s="49"/>
      <c r="M62" s="49"/>
      <c r="N62" s="49"/>
      <c r="O62" s="144" t="s">
        <v>38</v>
      </c>
      <c r="P62" s="49"/>
      <c r="Q62" s="49"/>
      <c r="R62" s="49"/>
      <c r="S62" s="49"/>
      <c r="T62" s="55"/>
      <c r="U62" s="55"/>
      <c r="V62" s="55"/>
      <c r="W62" s="55"/>
      <c r="X62" s="49"/>
      <c r="Z62" s="28"/>
      <c r="AA62" s="28"/>
      <c r="AB62" s="28"/>
      <c r="AC62" s="28"/>
      <c r="AD62" s="28"/>
      <c r="AE62" s="28"/>
      <c r="AF62" s="28"/>
      <c r="AG62" s="28"/>
      <c r="AH62" s="28"/>
      <c r="AI62" s="28"/>
      <c r="AJ62" s="28"/>
      <c r="AK62" s="28"/>
      <c r="AL62" s="28"/>
    </row>
    <row r="63" spans="12:38">
      <c r="L63" s="49"/>
      <c r="M63" s="49"/>
      <c r="N63" s="49"/>
      <c r="O63" s="49" t="s">
        <v>192</v>
      </c>
      <c r="P63" s="49">
        <f>IF($B$5="&lt;5",1.751,IF($B$5="5 to 7",1.795,IF($B$5="&gt;7",1.839,0)))</f>
        <v>1.7509999999999999</v>
      </c>
      <c r="Q63" s="49"/>
      <c r="R63" s="49"/>
      <c r="S63" s="49"/>
      <c r="T63" s="55"/>
      <c r="U63" s="55"/>
      <c r="V63" s="55"/>
      <c r="W63" s="55"/>
      <c r="X63" s="49"/>
    </row>
    <row r="64" spans="12:38">
      <c r="L64" s="49"/>
      <c r="M64" s="49"/>
      <c r="N64" s="49"/>
      <c r="O64" s="49" t="s">
        <v>193</v>
      </c>
      <c r="P64" s="49">
        <f>IF($B$5="&lt;5",1.743,IF($B$5="5 to 7",1.787,IF($B$5="&gt;7",1.83,0)))</f>
        <v>1.7430000000000001</v>
      </c>
      <c r="Q64" s="49"/>
      <c r="R64" s="49"/>
      <c r="S64" s="49"/>
      <c r="T64" s="989"/>
      <c r="U64" s="989"/>
      <c r="V64" s="989"/>
      <c r="W64" s="989"/>
      <c r="X64" s="49"/>
    </row>
    <row r="65" spans="1:30">
      <c r="L65" s="49"/>
      <c r="M65" s="49"/>
      <c r="N65" s="49"/>
      <c r="O65" s="49" t="s">
        <v>286</v>
      </c>
      <c r="P65" s="49">
        <f>IF($B$5="&lt;5",1.726,IF($B$5="5 to 7",1.77,IF($B$5="&gt;7",1.812,0)))</f>
        <v>1.726</v>
      </c>
      <c r="Q65" s="49"/>
      <c r="R65" s="49"/>
      <c r="S65" s="49"/>
      <c r="T65" s="55"/>
      <c r="U65" s="55"/>
      <c r="V65" s="55"/>
      <c r="W65" s="55"/>
      <c r="X65" s="49"/>
    </row>
    <row r="66" spans="1:30">
      <c r="L66" s="49"/>
      <c r="M66" s="49"/>
      <c r="N66" s="49"/>
      <c r="O66" s="49"/>
      <c r="P66" s="49"/>
      <c r="Q66" s="49"/>
      <c r="R66" s="49"/>
      <c r="S66" s="49"/>
      <c r="T66" s="147"/>
      <c r="U66" s="148"/>
      <c r="V66" s="148"/>
      <c r="W66" s="148"/>
      <c r="X66" s="49"/>
      <c r="AA66" s="1099"/>
      <c r="AB66" s="1099"/>
      <c r="AC66" s="1099"/>
      <c r="AD66" s="1099"/>
    </row>
    <row r="67" spans="1:30">
      <c r="L67" s="49"/>
      <c r="M67" s="49"/>
      <c r="N67" s="49"/>
      <c r="O67" s="49"/>
      <c r="P67" s="49"/>
      <c r="Q67" s="49"/>
      <c r="R67" s="49"/>
      <c r="S67" s="49"/>
      <c r="T67" s="55"/>
      <c r="U67" s="55"/>
      <c r="V67" s="55"/>
      <c r="W67" s="55"/>
      <c r="X67" s="49"/>
      <c r="AC67" s="244"/>
    </row>
    <row r="68" spans="1:30">
      <c r="T68" s="28"/>
      <c r="U68" s="28"/>
      <c r="V68" s="28"/>
      <c r="W68" s="28"/>
      <c r="AA68" s="54"/>
      <c r="AB68" s="54"/>
      <c r="AC68" s="54"/>
      <c r="AD68" s="54"/>
    </row>
    <row r="69" spans="1:30">
      <c r="T69" s="28"/>
      <c r="U69" s="28"/>
      <c r="V69" s="28"/>
      <c r="W69" s="28"/>
      <c r="AA69" s="54"/>
      <c r="AB69" s="54"/>
      <c r="AC69" s="54"/>
      <c r="AD69" s="54"/>
    </row>
    <row r="70" spans="1:30">
      <c r="T70" s="28"/>
      <c r="U70" s="28"/>
      <c r="V70" s="28"/>
      <c r="W70" s="28"/>
      <c r="AA70" s="54"/>
      <c r="AB70" s="54"/>
      <c r="AC70" s="54"/>
      <c r="AD70" s="54"/>
    </row>
    <row r="71" spans="1:30">
      <c r="T71" s="28"/>
      <c r="U71" s="28"/>
      <c r="V71" s="28"/>
      <c r="W71" s="28"/>
      <c r="AA71" s="52"/>
      <c r="AB71" s="54"/>
      <c r="AC71" s="54"/>
      <c r="AD71" s="54"/>
    </row>
    <row r="72" spans="1:30">
      <c r="A72" s="28"/>
      <c r="B72" s="28"/>
      <c r="C72" s="28"/>
      <c r="D72" s="28"/>
      <c r="E72" s="28"/>
      <c r="F72" s="28"/>
      <c r="T72" s="28"/>
      <c r="U72" s="28"/>
      <c r="V72" s="28"/>
      <c r="W72" s="28"/>
    </row>
    <row r="73" spans="1:30">
      <c r="A73" s="28"/>
      <c r="B73" s="28"/>
      <c r="C73" s="28"/>
      <c r="D73" s="28"/>
      <c r="E73" s="28"/>
      <c r="F73" s="28"/>
    </row>
    <row r="74" spans="1:30" ht="37.5">
      <c r="A74" s="149"/>
      <c r="B74" s="117"/>
      <c r="C74" s="117"/>
      <c r="D74" s="117"/>
      <c r="E74" s="117"/>
      <c r="F74" s="150"/>
    </row>
    <row r="75" spans="1:30" ht="23.25">
      <c r="A75" s="129"/>
      <c r="B75" s="151"/>
      <c r="C75" s="151"/>
      <c r="D75" s="151"/>
      <c r="E75" s="151"/>
      <c r="F75" s="151"/>
    </row>
    <row r="76" spans="1:30">
      <c r="A76" s="86"/>
      <c r="B76" s="86"/>
      <c r="C76" s="86"/>
      <c r="D76" s="86"/>
      <c r="E76" s="86"/>
      <c r="F76" s="86"/>
    </row>
    <row r="77" spans="1:30" ht="17.25" customHeight="1">
      <c r="A77" s="131"/>
      <c r="B77" s="132"/>
      <c r="C77" s="132"/>
      <c r="D77" s="132"/>
      <c r="E77" s="132"/>
      <c r="F77" s="132"/>
    </row>
    <row r="78" spans="1:30" ht="15.75">
      <c r="A78" s="133"/>
      <c r="B78" s="132"/>
      <c r="C78" s="132"/>
      <c r="D78" s="132"/>
      <c r="E78" s="132"/>
      <c r="F78" s="132"/>
    </row>
    <row r="79" spans="1:30" ht="15.75">
      <c r="A79" s="131"/>
      <c r="B79" s="132"/>
      <c r="C79" s="132"/>
      <c r="D79" s="132"/>
      <c r="E79" s="132"/>
      <c r="F79" s="132"/>
    </row>
    <row r="80" spans="1:30">
      <c r="A80" s="86"/>
      <c r="B80" s="86"/>
      <c r="C80" s="86"/>
      <c r="D80" s="86"/>
      <c r="E80" s="86"/>
      <c r="F80" s="86"/>
    </row>
    <row r="81" spans="1:6" ht="23.25">
      <c r="A81" s="129"/>
      <c r="B81" s="151"/>
      <c r="C81" s="151"/>
      <c r="D81" s="151"/>
      <c r="E81" s="151"/>
      <c r="F81" s="151"/>
    </row>
    <row r="82" spans="1:6">
      <c r="A82" s="86"/>
      <c r="B82" s="86"/>
      <c r="C82" s="86"/>
      <c r="D82" s="86"/>
      <c r="E82" s="86"/>
      <c r="F82" s="86"/>
    </row>
    <row r="83" spans="1:6" ht="15.75">
      <c r="A83" s="131"/>
      <c r="B83" s="132"/>
      <c r="C83" s="132"/>
      <c r="D83" s="132"/>
      <c r="E83" s="132"/>
      <c r="F83" s="132"/>
    </row>
    <row r="84" spans="1:6" ht="15.75">
      <c r="A84" s="133"/>
      <c r="B84" s="132"/>
      <c r="C84" s="132"/>
      <c r="D84" s="132"/>
      <c r="E84" s="132"/>
      <c r="F84" s="132"/>
    </row>
    <row r="85" spans="1:6" ht="15.75">
      <c r="A85" s="131"/>
      <c r="B85" s="132"/>
      <c r="C85" s="132"/>
      <c r="D85" s="132"/>
      <c r="E85" s="132"/>
      <c r="F85" s="132"/>
    </row>
    <row r="86" spans="1:6">
      <c r="A86" s="86"/>
      <c r="B86" s="86"/>
      <c r="C86" s="86"/>
      <c r="D86" s="86"/>
      <c r="E86" s="86"/>
      <c r="F86" s="86"/>
    </row>
    <row r="87" spans="1:6" ht="23.25">
      <c r="A87" s="129"/>
      <c r="B87" s="151"/>
      <c r="C87" s="151"/>
      <c r="D87" s="151"/>
      <c r="E87" s="151"/>
      <c r="F87" s="151"/>
    </row>
    <row r="88" spans="1:6">
      <c r="A88" s="86"/>
      <c r="B88" s="86"/>
      <c r="C88" s="86"/>
      <c r="D88" s="86"/>
      <c r="E88" s="86"/>
      <c r="F88" s="86"/>
    </row>
    <row r="89" spans="1:6" ht="15.75">
      <c r="A89" s="131"/>
      <c r="B89" s="132"/>
      <c r="C89" s="132"/>
      <c r="D89" s="132"/>
      <c r="E89" s="132"/>
      <c r="F89" s="132"/>
    </row>
    <row r="90" spans="1:6" ht="15.75">
      <c r="A90" s="133"/>
      <c r="B90" s="132"/>
      <c r="C90" s="132"/>
      <c r="D90" s="132"/>
      <c r="E90" s="132"/>
      <c r="F90" s="132"/>
    </row>
    <row r="91" spans="1:6" ht="15.75">
      <c r="A91" s="131"/>
      <c r="B91" s="132"/>
      <c r="C91" s="132"/>
      <c r="D91" s="132"/>
      <c r="E91" s="132"/>
      <c r="F91" s="132"/>
    </row>
    <row r="92" spans="1:6">
      <c r="A92" s="86"/>
      <c r="B92" s="86"/>
      <c r="C92" s="86"/>
      <c r="D92" s="86"/>
      <c r="E92" s="86"/>
      <c r="F92" s="86"/>
    </row>
    <row r="93" spans="1:6" ht="37.5">
      <c r="A93" s="149"/>
      <c r="B93" s="86"/>
      <c r="C93" s="86"/>
      <c r="D93" s="86"/>
      <c r="E93" s="86"/>
      <c r="F93" s="150"/>
    </row>
    <row r="94" spans="1:6" ht="17.25" customHeight="1">
      <c r="A94" s="129"/>
      <c r="B94" s="151"/>
      <c r="C94" s="151"/>
      <c r="D94" s="151"/>
      <c r="E94" s="151"/>
      <c r="F94" s="151"/>
    </row>
    <row r="95" spans="1:6">
      <c r="A95" s="86"/>
      <c r="B95" s="86"/>
      <c r="C95" s="86"/>
      <c r="D95" s="86"/>
      <c r="E95" s="86"/>
      <c r="F95" s="86"/>
    </row>
    <row r="96" spans="1:6" ht="15.75">
      <c r="A96" s="131"/>
      <c r="B96" s="132"/>
      <c r="C96" s="132"/>
      <c r="D96" s="132"/>
      <c r="E96" s="132"/>
      <c r="F96" s="132"/>
    </row>
    <row r="97" spans="1:6" ht="15" customHeight="1">
      <c r="A97" s="133"/>
      <c r="B97" s="132"/>
      <c r="C97" s="132"/>
      <c r="D97" s="132"/>
      <c r="E97" s="132"/>
      <c r="F97" s="132"/>
    </row>
    <row r="98" spans="1:6" ht="15.75">
      <c r="A98" s="131"/>
      <c r="B98" s="132"/>
      <c r="C98" s="132"/>
      <c r="D98" s="132"/>
      <c r="E98" s="132"/>
      <c r="F98" s="132"/>
    </row>
    <row r="99" spans="1:6">
      <c r="A99" s="86"/>
      <c r="B99" s="150"/>
      <c r="C99" s="150"/>
      <c r="D99" s="150"/>
      <c r="E99" s="150"/>
      <c r="F99" s="86"/>
    </row>
    <row r="100" spans="1:6" ht="23.25">
      <c r="A100" s="129"/>
      <c r="B100" s="151"/>
      <c r="C100" s="151"/>
      <c r="D100" s="151"/>
      <c r="E100" s="151"/>
      <c r="F100" s="151"/>
    </row>
    <row r="101" spans="1:6">
      <c r="A101" s="86"/>
      <c r="B101" s="86"/>
      <c r="C101" s="86"/>
      <c r="D101" s="86"/>
      <c r="E101" s="86"/>
      <c r="F101" s="86"/>
    </row>
    <row r="102" spans="1:6" ht="15.75">
      <c r="A102" s="131"/>
      <c r="B102" s="132"/>
      <c r="C102" s="132"/>
      <c r="D102" s="132"/>
      <c r="E102" s="132"/>
      <c r="F102" s="132"/>
    </row>
    <row r="103" spans="1:6" ht="15.75">
      <c r="A103" s="133"/>
      <c r="B103" s="132"/>
      <c r="C103" s="132"/>
      <c r="D103" s="132"/>
      <c r="E103" s="132"/>
      <c r="F103" s="132"/>
    </row>
    <row r="104" spans="1:6" ht="15.75">
      <c r="A104" s="131"/>
      <c r="B104" s="132"/>
      <c r="C104" s="132"/>
      <c r="D104" s="132"/>
      <c r="E104" s="132"/>
      <c r="F104" s="132"/>
    </row>
    <row r="105" spans="1:6">
      <c r="A105" s="86"/>
      <c r="B105" s="86"/>
      <c r="C105" s="86"/>
      <c r="D105" s="86"/>
      <c r="E105" s="86"/>
      <c r="F105" s="86"/>
    </row>
    <row r="106" spans="1:6" ht="23.25">
      <c r="A106" s="129"/>
      <c r="B106" s="151"/>
      <c r="C106" s="151"/>
      <c r="D106" s="151"/>
      <c r="E106" s="151"/>
      <c r="F106" s="151"/>
    </row>
    <row r="107" spans="1:6">
      <c r="A107" s="86"/>
      <c r="B107" s="86"/>
      <c r="C107" s="86"/>
      <c r="D107" s="86"/>
      <c r="E107" s="86"/>
      <c r="F107" s="117"/>
    </row>
    <row r="108" spans="1:6" ht="15.75">
      <c r="A108" s="131"/>
      <c r="B108" s="132"/>
      <c r="C108" s="132"/>
      <c r="D108" s="132"/>
      <c r="E108" s="132"/>
      <c r="F108" s="130"/>
    </row>
    <row r="109" spans="1:6" ht="15.75">
      <c r="A109" s="133"/>
      <c r="B109" s="132"/>
      <c r="C109" s="132"/>
      <c r="D109" s="132"/>
      <c r="E109" s="132"/>
      <c r="F109" s="130"/>
    </row>
    <row r="110" spans="1:6" ht="15.75">
      <c r="A110" s="131"/>
      <c r="B110" s="132"/>
      <c r="C110" s="132"/>
      <c r="D110" s="132"/>
      <c r="E110" s="132"/>
      <c r="F110" s="130"/>
    </row>
    <row r="111" spans="1:6" ht="40.5">
      <c r="A111" s="152"/>
      <c r="B111" s="86"/>
      <c r="C111" s="86"/>
      <c r="D111" s="86"/>
      <c r="E111" s="86"/>
      <c r="F111" s="117"/>
    </row>
    <row r="112" spans="1:6" ht="23.25">
      <c r="A112" s="86"/>
      <c r="B112" s="129"/>
      <c r="C112" s="129"/>
      <c r="D112" s="129"/>
      <c r="E112" s="86"/>
      <c r="F112" s="86"/>
    </row>
    <row r="113" spans="1:6" ht="15.75">
      <c r="A113" s="131"/>
      <c r="B113" s="132"/>
      <c r="C113" s="132"/>
      <c r="D113" s="132"/>
      <c r="E113" s="86"/>
      <c r="F113" s="86"/>
    </row>
    <row r="114" spans="1:6" ht="15.75">
      <c r="A114" s="133"/>
      <c r="B114" s="132"/>
      <c r="C114" s="132"/>
      <c r="D114" s="132"/>
      <c r="E114" s="86"/>
      <c r="F114" s="86"/>
    </row>
    <row r="115" spans="1:6" ht="15" customHeight="1">
      <c r="A115" s="131"/>
      <c r="B115" s="132"/>
      <c r="C115" s="132"/>
      <c r="D115" s="132"/>
      <c r="E115" s="86"/>
      <c r="F115" s="86"/>
    </row>
    <row r="116" spans="1:6" ht="38.25">
      <c r="A116" s="153"/>
      <c r="B116" s="150"/>
      <c r="C116" s="86"/>
      <c r="D116" s="86"/>
      <c r="E116" s="86"/>
      <c r="F116" s="86"/>
    </row>
    <row r="117" spans="1:6" ht="23.25">
      <c r="A117" s="132"/>
      <c r="B117" s="129"/>
      <c r="C117" s="129"/>
      <c r="D117" s="129"/>
      <c r="E117" s="86"/>
      <c r="F117" s="86"/>
    </row>
    <row r="118" spans="1:6">
      <c r="A118" s="86"/>
      <c r="B118" s="150"/>
      <c r="C118" s="86"/>
      <c r="D118" s="86"/>
      <c r="E118" s="86"/>
      <c r="F118" s="86"/>
    </row>
    <row r="119" spans="1:6" ht="15.75">
      <c r="A119" s="131"/>
      <c r="B119" s="132"/>
      <c r="C119" s="132"/>
      <c r="D119" s="132"/>
      <c r="E119" s="86"/>
      <c r="F119" s="86"/>
    </row>
    <row r="120" spans="1:6" ht="15.75">
      <c r="A120" s="133"/>
      <c r="B120" s="132"/>
      <c r="C120" s="132"/>
      <c r="D120" s="132"/>
      <c r="E120" s="86"/>
      <c r="F120" s="86"/>
    </row>
    <row r="121" spans="1:6" ht="15.75">
      <c r="A121" s="131"/>
      <c r="B121" s="132"/>
      <c r="C121" s="132"/>
      <c r="D121" s="132"/>
      <c r="E121" s="150"/>
      <c r="F121" s="86"/>
    </row>
    <row r="122" spans="1:6" ht="45">
      <c r="A122" s="138"/>
      <c r="B122" s="86"/>
      <c r="C122" s="86"/>
      <c r="D122" s="86"/>
      <c r="E122" s="86"/>
      <c r="F122" s="86"/>
    </row>
    <row r="123" spans="1:6" ht="18.75" customHeight="1">
      <c r="A123" s="130"/>
      <c r="B123" s="129"/>
      <c r="C123" s="129"/>
      <c r="D123" s="129"/>
      <c r="E123" s="86"/>
      <c r="F123" s="86"/>
    </row>
    <row r="124" spans="1:6" ht="15.75">
      <c r="A124" s="131"/>
      <c r="B124" s="132"/>
      <c r="C124" s="132"/>
      <c r="D124" s="132"/>
      <c r="E124" s="86"/>
      <c r="F124" s="86"/>
    </row>
    <row r="125" spans="1:6" ht="15.75">
      <c r="A125" s="133"/>
      <c r="B125" s="130"/>
      <c r="C125" s="132"/>
      <c r="D125" s="132"/>
      <c r="E125" s="86"/>
      <c r="F125" s="86"/>
    </row>
    <row r="126" spans="1:6" ht="15.75">
      <c r="A126" s="131"/>
      <c r="B126" s="130"/>
      <c r="C126" s="132"/>
      <c r="D126" s="132"/>
      <c r="E126" s="86"/>
      <c r="F126" s="86"/>
    </row>
    <row r="127" spans="1:6">
      <c r="A127" s="28"/>
      <c r="B127" s="28"/>
      <c r="C127" s="28"/>
      <c r="D127" s="28"/>
      <c r="E127" s="28"/>
      <c r="F127" s="28"/>
    </row>
    <row r="128" spans="1:6">
      <c r="A128" s="28"/>
      <c r="B128" s="28"/>
      <c r="C128" s="28"/>
      <c r="D128" s="28"/>
      <c r="E128" s="28"/>
      <c r="F128" s="28"/>
    </row>
    <row r="129" spans="1:6">
      <c r="A129" s="28"/>
      <c r="B129" s="28"/>
      <c r="C129" s="28"/>
      <c r="D129" s="28"/>
      <c r="E129" s="28"/>
      <c r="F129" s="28"/>
    </row>
    <row r="130" spans="1:6" ht="17.25" customHeight="1">
      <c r="A130" s="28"/>
      <c r="B130" s="28"/>
      <c r="C130" s="28"/>
      <c r="D130" s="28"/>
      <c r="E130" s="28"/>
      <c r="F130" s="28"/>
    </row>
  </sheetData>
  <sheetProtection password="F7EB" sheet="1" objects="1" scenarios="1"/>
  <mergeCells count="28">
    <mergeCell ref="T64:W64"/>
    <mergeCell ref="AA66:AD66"/>
    <mergeCell ref="AE55:AE58"/>
    <mergeCell ref="AF55:AF58"/>
    <mergeCell ref="AG55:AG58"/>
    <mergeCell ref="AI55:AI58"/>
    <mergeCell ref="AJ55:AJ58"/>
    <mergeCell ref="AK55:AK58"/>
    <mergeCell ref="AJ49:AJ52"/>
    <mergeCell ref="AK49:AK52"/>
    <mergeCell ref="AK53:AK54"/>
    <mergeCell ref="AI49:AI52"/>
    <mergeCell ref="AE53:AE54"/>
    <mergeCell ref="AF53:AF54"/>
    <mergeCell ref="AG53:AG54"/>
    <mergeCell ref="AI53:AI54"/>
    <mergeCell ref="AJ53:AJ54"/>
    <mergeCell ref="A8:B8"/>
    <mergeCell ref="C8:D8"/>
    <mergeCell ref="AE49:AE52"/>
    <mergeCell ref="AF49:AF52"/>
    <mergeCell ref="AG49:AG52"/>
    <mergeCell ref="H5:I5"/>
    <mergeCell ref="A1:F1"/>
    <mergeCell ref="H1:I1"/>
    <mergeCell ref="H2:I2"/>
    <mergeCell ref="H3:I3"/>
    <mergeCell ref="H4:I4"/>
  </mergeCells>
  <dataValidations count="7">
    <dataValidation operator="equal" allowBlank="1" showErrorMessage="1" sqref="D2">
      <formula1>0</formula1>
      <formula2>0</formula2>
    </dataValidation>
    <dataValidation type="list" operator="equal" allowBlank="1" showErrorMessage="1" sqref="B3">
      <formula1>"Zone A, Zone B, Zone C"</formula1>
    </dataValidation>
    <dataValidation type="list" operator="equal" allowBlank="1" showErrorMessage="1" sqref="F3">
      <formula1>"Yes, No"</formula1>
    </dataValidation>
    <dataValidation type="list" operator="equal" allowBlank="1" showErrorMessage="1" sqref="B5">
      <formula1>gcvage</formula1>
    </dataValidation>
    <dataValidation type="list" operator="equal" allowBlank="1" showErrorMessage="1" sqref="B6">
      <formula1>NCB</formula1>
    </dataValidation>
    <dataValidation type="list" operator="equal" allowBlank="1" showErrorMessage="1" sqref="B4">
      <formula1>"Tractor &amp; Trailer, Trailer Only"</formula1>
    </dataValidation>
    <dataValidation type="list" operator="equal" allowBlank="1" showErrorMessage="1" sqref="D4">
      <formula1>YN</formula1>
    </dataValidation>
  </dataValidations>
  <hyperlinks>
    <hyperlink ref="H1" location="Motor Home Page!a1" display="Motor Home Page"/>
  </hyperlinks>
  <pageMargins left="0.70866141732283472" right="0.70866141732283472" top="0.74803149606299213" bottom="0.74803149606299213" header="0.31496062992125984" footer="0.51181102362204722"/>
  <pageSetup scale="85" firstPageNumber="0" orientation="landscape" horizontalDpi="300" verticalDpi="300" r:id="rId1"/>
  <headerFooter alignWithMargins="0">
    <oddHeader>&amp;CDesigned By Prashanth Komarraju</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0"/>
  <sheetViews>
    <sheetView zoomScaleNormal="100" zoomScaleSheetLayoutView="51" workbookViewId="0">
      <pane ySplit="7" topLeftCell="A8" activePane="bottomLeft" state="frozen"/>
      <selection pane="bottomLeft" activeCell="B5" sqref="B5"/>
    </sheetView>
  </sheetViews>
  <sheetFormatPr defaultColWidth="9.42578125" defaultRowHeight="15"/>
  <cols>
    <col min="1" max="1" width="29.42578125" style="5" customWidth="1"/>
    <col min="2" max="2" width="20" style="5" customWidth="1"/>
    <col min="3" max="3" width="27" style="5" customWidth="1"/>
    <col min="4" max="4" width="18.85546875" style="5" customWidth="1"/>
    <col min="5" max="5" width="29.140625" style="5" customWidth="1"/>
    <col min="6" max="6" width="14.28515625" style="5" customWidth="1"/>
    <col min="7" max="7" width="4" style="5" customWidth="1"/>
    <col min="8" max="8" width="16" style="5" customWidth="1"/>
    <col min="9" max="9" width="13.7109375" style="5" customWidth="1"/>
    <col min="10" max="10" width="24.42578125" style="5" customWidth="1"/>
    <col min="11" max="11" width="9.42578125" style="5"/>
    <col min="12" max="12" width="10.140625" style="5" customWidth="1"/>
    <col min="13" max="14" width="9.42578125" style="5"/>
    <col min="15" max="15" width="11.42578125" style="5" customWidth="1"/>
    <col min="16" max="16" width="11.28515625" style="5" customWidth="1"/>
    <col min="17" max="16384" width="9.42578125" style="5"/>
  </cols>
  <sheetData>
    <row r="1" spans="1:9" s="7" customFormat="1" ht="36.6" customHeight="1" thickBot="1">
      <c r="A1" s="1100" t="s">
        <v>307</v>
      </c>
      <c r="B1" s="1100"/>
      <c r="C1" s="1100"/>
      <c r="D1" s="1100"/>
      <c r="E1" s="1100"/>
      <c r="F1" s="1100"/>
      <c r="G1" s="161"/>
      <c r="H1" s="1089" t="s">
        <v>5</v>
      </c>
      <c r="I1" s="1089"/>
    </row>
    <row r="2" spans="1:9" ht="43.5" customHeight="1">
      <c r="A2" s="162" t="s">
        <v>301</v>
      </c>
      <c r="B2" s="163">
        <v>1600000</v>
      </c>
      <c r="C2" s="295" t="s">
        <v>149</v>
      </c>
      <c r="D2" s="154">
        <v>75</v>
      </c>
      <c r="E2" s="275" t="s">
        <v>261</v>
      </c>
      <c r="F2" s="175">
        <v>0</v>
      </c>
      <c r="G2" s="112"/>
      <c r="H2" s="1009" t="s">
        <v>9</v>
      </c>
      <c r="I2" s="1009"/>
    </row>
    <row r="3" spans="1:9" ht="27.2" customHeight="1">
      <c r="A3" s="115" t="s">
        <v>148</v>
      </c>
      <c r="B3" s="93" t="s">
        <v>11</v>
      </c>
      <c r="C3" s="279" t="s">
        <v>152</v>
      </c>
      <c r="D3" s="154" t="s">
        <v>50</v>
      </c>
      <c r="E3" s="276" t="s">
        <v>150</v>
      </c>
      <c r="F3" s="197" t="s">
        <v>50</v>
      </c>
      <c r="G3" s="112"/>
      <c r="H3" s="1006" t="s">
        <v>15</v>
      </c>
      <c r="I3" s="1006"/>
    </row>
    <row r="4" spans="1:9" ht="30.2" customHeight="1" thickBot="1">
      <c r="A4" s="782" t="s">
        <v>512</v>
      </c>
      <c r="B4" s="93" t="s">
        <v>656</v>
      </c>
      <c r="C4" s="278" t="s">
        <v>308</v>
      </c>
      <c r="D4" s="154" t="s">
        <v>50</v>
      </c>
      <c r="E4" s="277" t="s">
        <v>153</v>
      </c>
      <c r="F4" s="178">
        <v>1</v>
      </c>
      <c r="G4" s="112"/>
      <c r="H4" s="1006" t="s">
        <v>632</v>
      </c>
      <c r="I4" s="1006"/>
    </row>
    <row r="5" spans="1:9" ht="32.25" customHeight="1" thickBot="1">
      <c r="A5" s="176" t="s">
        <v>151</v>
      </c>
      <c r="B5" s="177" t="s">
        <v>17</v>
      </c>
      <c r="C5" s="278" t="s">
        <v>164</v>
      </c>
      <c r="D5" s="111">
        <v>0</v>
      </c>
      <c r="E5" s="274" t="s">
        <v>297</v>
      </c>
      <c r="F5" s="111">
        <v>0</v>
      </c>
      <c r="G5" s="112"/>
      <c r="H5" s="1006" t="s">
        <v>483</v>
      </c>
      <c r="I5" s="1006"/>
    </row>
    <row r="6" spans="1:9" ht="22.5" customHeight="1" thickBot="1">
      <c r="A6" s="179" t="s">
        <v>154</v>
      </c>
      <c r="B6" s="198">
        <v>0</v>
      </c>
      <c r="G6" s="15"/>
      <c r="H6" s="15"/>
    </row>
    <row r="7" spans="1:9" ht="15.75" hidden="1" customHeight="1" thickBot="1">
      <c r="C7" s="245"/>
      <c r="D7" s="246"/>
      <c r="E7" s="32"/>
      <c r="F7" s="32"/>
      <c r="G7" s="15"/>
    </row>
    <row r="8" spans="1:9" ht="15.75" customHeight="1">
      <c r="A8" s="1097" t="s">
        <v>155</v>
      </c>
      <c r="B8" s="1097"/>
      <c r="C8" s="1098" t="s">
        <v>156</v>
      </c>
      <c r="D8" s="1098"/>
      <c r="E8" s="17"/>
      <c r="F8" s="17"/>
      <c r="G8" s="1101" t="s">
        <v>629</v>
      </c>
      <c r="H8" s="1101"/>
      <c r="I8" s="1101"/>
    </row>
    <row r="9" spans="1:9" ht="24.75" customHeight="1">
      <c r="A9" s="66" t="s">
        <v>23</v>
      </c>
      <c r="B9" s="169">
        <f>IF($B$3="zone a",$P$63,IF($B$3="zone b",$P$64,IF($B$3="zone c",$P$65,0)))</f>
        <v>1.202</v>
      </c>
      <c r="C9" s="181" t="s">
        <v>158</v>
      </c>
      <c r="D9" s="780">
        <v>6847</v>
      </c>
      <c r="G9" s="1101"/>
      <c r="H9" s="1101"/>
      <c r="I9" s="1101"/>
    </row>
    <row r="10" spans="1:9" ht="31.7" customHeight="1">
      <c r="A10" s="125" t="s">
        <v>157</v>
      </c>
      <c r="B10" s="171">
        <f>$B$2*$B$9%</f>
        <v>19232</v>
      </c>
      <c r="C10" s="209" t="s">
        <v>160</v>
      </c>
      <c r="D10" s="208">
        <f>IF($F$3="yes",275,0)</f>
        <v>0</v>
      </c>
      <c r="G10" s="1101"/>
      <c r="H10" s="1101"/>
      <c r="I10" s="1101"/>
    </row>
    <row r="11" spans="1:9" ht="28.5" customHeight="1">
      <c r="A11" s="119" t="s">
        <v>309</v>
      </c>
      <c r="B11" s="516">
        <f>IF(D4="Yes",$B$2*0.005,0)</f>
        <v>0</v>
      </c>
      <c r="C11" s="183" t="s">
        <v>137</v>
      </c>
      <c r="D11" s="783">
        <f>IF(B4="Ambulance",D5*60,IF(B4="Hearses",D5*115,0))</f>
        <v>0</v>
      </c>
      <c r="G11" s="1102" t="s">
        <v>584</v>
      </c>
      <c r="H11" s="1102"/>
      <c r="I11" s="781">
        <v>6847</v>
      </c>
    </row>
    <row r="12" spans="1:9" ht="32.25" customHeight="1" thickBot="1">
      <c r="A12" s="119" t="s">
        <v>266</v>
      </c>
      <c r="B12" s="172">
        <f>$F$2*0.04*(1-D2%)</f>
        <v>0</v>
      </c>
      <c r="C12" s="183" t="s">
        <v>264</v>
      </c>
      <c r="D12" s="208">
        <f>$F$4*50</f>
        <v>50</v>
      </c>
      <c r="E12" s="17"/>
      <c r="F12" s="17"/>
      <c r="G12" s="1103" t="s">
        <v>585</v>
      </c>
      <c r="H12" s="1103"/>
      <c r="I12" s="781">
        <v>1550</v>
      </c>
    </row>
    <row r="13" spans="1:9" ht="16.5" thickBot="1">
      <c r="A13" s="119" t="s">
        <v>268</v>
      </c>
      <c r="B13" s="172">
        <f>$F$5*0.04</f>
        <v>0</v>
      </c>
      <c r="C13" s="210" t="s">
        <v>304</v>
      </c>
      <c r="D13" s="211">
        <f>IF($B$13=0,0,60)</f>
        <v>0</v>
      </c>
      <c r="E13" s="184" t="s">
        <v>163</v>
      </c>
      <c r="F13" s="185">
        <f>SUM($D$15:$D$16)</f>
        <v>13811.9</v>
      </c>
      <c r="G13" s="15"/>
    </row>
    <row r="14" spans="1:9" ht="15.75">
      <c r="A14" s="122" t="s">
        <v>30</v>
      </c>
      <c r="B14" s="173">
        <f>$D$2%*($B$10)</f>
        <v>14424</v>
      </c>
      <c r="C14" s="247" t="s">
        <v>166</v>
      </c>
      <c r="D14" s="212">
        <f>SUM($D$9:$D$13)</f>
        <v>6897</v>
      </c>
      <c r="E14" s="187"/>
      <c r="F14" s="188"/>
      <c r="G14" s="15"/>
    </row>
    <row r="15" spans="1:9">
      <c r="A15" s="122" t="s">
        <v>269</v>
      </c>
      <c r="B15" s="249">
        <f>$B$10+$B$11+$B$12+$B$13-$B$14</f>
        <v>4808</v>
      </c>
      <c r="C15" s="248" t="s">
        <v>33</v>
      </c>
      <c r="D15" s="208">
        <f>$D$14+$B$19</f>
        <v>11705</v>
      </c>
      <c r="E15" s="123"/>
      <c r="F15" s="117"/>
      <c r="G15" s="15"/>
    </row>
    <row r="16" spans="1:9" ht="15.75" thickBot="1">
      <c r="A16" s="122" t="s">
        <v>167</v>
      </c>
      <c r="B16" s="249">
        <f>IF($D$3="yes",0.15*$B$15,0)</f>
        <v>0</v>
      </c>
      <c r="C16" s="227" t="s">
        <v>169</v>
      </c>
      <c r="D16" s="190">
        <f>$D$15*'Motor Home Page'!N1%</f>
        <v>2106.9</v>
      </c>
      <c r="E16" s="123"/>
      <c r="F16" s="86"/>
      <c r="G16" s="15"/>
    </row>
    <row r="17" spans="1:14" ht="18" customHeight="1">
      <c r="A17" s="66" t="s">
        <v>270</v>
      </c>
      <c r="B17" s="77">
        <f>B15+B16</f>
        <v>4808</v>
      </c>
      <c r="C17" s="17"/>
      <c r="D17" s="17"/>
      <c r="E17" s="86"/>
      <c r="F17" s="86"/>
      <c r="G17" s="15"/>
    </row>
    <row r="18" spans="1:14" ht="18" customHeight="1">
      <c r="A18" s="125" t="s">
        <v>271</v>
      </c>
      <c r="B18" s="173">
        <f>$B$6%*($B$17)</f>
        <v>0</v>
      </c>
      <c r="C18" s="17"/>
      <c r="D18" s="17"/>
      <c r="E18" s="86"/>
      <c r="F18" s="86"/>
      <c r="G18" s="15"/>
    </row>
    <row r="19" spans="1:14">
      <c r="A19" s="126" t="s">
        <v>35</v>
      </c>
      <c r="B19" s="174">
        <f>$B$17-$B$18</f>
        <v>4808</v>
      </c>
      <c r="C19" s="86"/>
      <c r="D19" s="86"/>
      <c r="E19" s="86"/>
      <c r="F19" s="86"/>
      <c r="G19" s="15"/>
    </row>
    <row r="20" spans="1:14">
      <c r="C20" s="130"/>
      <c r="D20" s="130"/>
      <c r="E20" s="130"/>
      <c r="F20" s="86"/>
    </row>
    <row r="21" spans="1:14">
      <c r="C21" s="132"/>
      <c r="D21" s="132"/>
      <c r="E21" s="132"/>
      <c r="F21" s="86"/>
      <c r="G21" s="15"/>
    </row>
    <row r="22" spans="1:14" ht="15.75">
      <c r="A22" s="133"/>
      <c r="B22" s="132"/>
      <c r="C22" s="132"/>
      <c r="D22" s="132"/>
      <c r="E22" s="132"/>
      <c r="F22" s="86"/>
      <c r="G22" s="15"/>
    </row>
    <row r="23" spans="1:14" ht="15.75">
      <c r="A23" s="131"/>
      <c r="B23" s="132"/>
      <c r="C23" s="132"/>
      <c r="D23" s="132"/>
      <c r="E23" s="132"/>
      <c r="F23" s="86"/>
      <c r="G23" s="15"/>
      <c r="K23" s="5" t="s">
        <v>46</v>
      </c>
      <c r="L23" s="5" t="s">
        <v>17</v>
      </c>
      <c r="M23" s="5">
        <v>0</v>
      </c>
      <c r="N23" s="5" t="s">
        <v>14</v>
      </c>
    </row>
    <row r="24" spans="1:14">
      <c r="A24" s="117"/>
      <c r="B24" s="117"/>
      <c r="C24" s="117"/>
      <c r="D24" s="86"/>
      <c r="E24" s="86"/>
      <c r="F24" s="117"/>
      <c r="G24" s="15"/>
      <c r="K24" s="5" t="s">
        <v>11</v>
      </c>
      <c r="L24" s="5" t="s">
        <v>170</v>
      </c>
      <c r="M24" s="5">
        <v>20</v>
      </c>
      <c r="N24" s="5" t="s">
        <v>50</v>
      </c>
    </row>
    <row r="25" spans="1:14" ht="23.25">
      <c r="A25" s="129"/>
      <c r="B25" s="132"/>
      <c r="C25" s="117"/>
      <c r="D25" s="86"/>
      <c r="E25" s="86"/>
      <c r="F25" s="117"/>
      <c r="K25" s="5" t="s">
        <v>213</v>
      </c>
      <c r="L25" s="5" t="s">
        <v>195</v>
      </c>
      <c r="M25" s="5">
        <v>25</v>
      </c>
    </row>
    <row r="26" spans="1:14" ht="39.75" customHeight="1">
      <c r="A26" s="117"/>
      <c r="B26" s="134"/>
      <c r="C26" s="134"/>
      <c r="D26" s="134"/>
      <c r="E26" s="134"/>
      <c r="F26" s="117"/>
      <c r="M26" s="5">
        <v>35</v>
      </c>
    </row>
    <row r="27" spans="1:14" ht="15.75">
      <c r="A27" s="131"/>
      <c r="B27" s="135"/>
      <c r="C27" s="130"/>
      <c r="D27" s="132"/>
      <c r="E27" s="132"/>
      <c r="F27" s="117"/>
      <c r="M27" s="5">
        <v>45</v>
      </c>
    </row>
    <row r="28" spans="1:14" ht="15.4" customHeight="1">
      <c r="A28" s="133"/>
      <c r="B28" s="130"/>
      <c r="C28" s="130"/>
      <c r="D28" s="130"/>
      <c r="E28" s="130"/>
      <c r="F28" s="117"/>
      <c r="G28" s="136"/>
      <c r="M28" s="5">
        <v>50</v>
      </c>
    </row>
    <row r="29" spans="1:14" ht="17.25" customHeight="1">
      <c r="A29" s="131"/>
      <c r="B29" s="132"/>
      <c r="C29" s="132"/>
      <c r="D29" s="132"/>
      <c r="E29" s="132"/>
      <c r="F29" s="86"/>
      <c r="G29" s="136"/>
    </row>
    <row r="30" spans="1:14">
      <c r="A30" s="86"/>
      <c r="B30" s="86"/>
      <c r="C30" s="86"/>
      <c r="D30" s="86"/>
      <c r="E30" s="86"/>
      <c r="F30" s="86"/>
      <c r="G30" s="136"/>
    </row>
    <row r="31" spans="1:14" ht="23.25">
      <c r="A31" s="129"/>
      <c r="B31" s="117"/>
      <c r="C31" s="117"/>
      <c r="D31" s="117"/>
      <c r="E31" s="117"/>
      <c r="F31" s="86"/>
      <c r="G31" s="136"/>
    </row>
    <row r="32" spans="1:14">
      <c r="A32" s="117"/>
      <c r="B32" s="134"/>
      <c r="C32" s="134"/>
      <c r="D32" s="134"/>
      <c r="E32" s="134"/>
      <c r="F32" s="86"/>
    </row>
    <row r="33" spans="1:40" ht="27.75" customHeight="1">
      <c r="A33" s="131"/>
      <c r="B33" s="130"/>
      <c r="C33" s="130"/>
      <c r="D33" s="130"/>
      <c r="E33" s="130"/>
      <c r="F33" s="86"/>
    </row>
    <row r="34" spans="1:40" ht="15.75">
      <c r="A34" s="133"/>
      <c r="B34" s="137"/>
      <c r="C34" s="137"/>
      <c r="D34" s="137"/>
      <c r="E34" s="130"/>
      <c r="F34" s="86"/>
    </row>
    <row r="35" spans="1:40" ht="15.75">
      <c r="A35" s="131"/>
      <c r="B35" s="137"/>
      <c r="C35" s="130"/>
      <c r="D35" s="130"/>
      <c r="E35" s="130"/>
      <c r="F35" s="86"/>
      <c r="G35" s="136"/>
    </row>
    <row r="36" spans="1:40" ht="15.75" customHeight="1">
      <c r="A36" s="133"/>
      <c r="B36" s="132"/>
      <c r="C36" s="132"/>
      <c r="D36" s="132"/>
      <c r="E36" s="86"/>
      <c r="F36" s="86"/>
      <c r="G36" s="136"/>
    </row>
    <row r="37" spans="1:40" ht="15.75">
      <c r="A37" s="131"/>
      <c r="B37" s="130"/>
      <c r="C37" s="130"/>
      <c r="D37" s="130"/>
      <c r="E37" s="86"/>
      <c r="F37" s="86"/>
      <c r="G37" s="136"/>
    </row>
    <row r="38" spans="1:40">
      <c r="A38" s="117"/>
      <c r="B38" s="132"/>
      <c r="C38" s="132"/>
      <c r="D38" s="132"/>
      <c r="E38" s="86"/>
      <c r="F38" s="86"/>
      <c r="G38" s="136"/>
    </row>
    <row r="39" spans="1:40" ht="36.75" customHeight="1">
      <c r="A39" s="138"/>
      <c r="B39" s="86"/>
      <c r="C39" s="123"/>
      <c r="D39" s="123"/>
      <c r="E39" s="86"/>
      <c r="F39" s="86"/>
    </row>
    <row r="40" spans="1:40" ht="22.5" customHeight="1">
      <c r="A40" s="117"/>
      <c r="B40" s="139"/>
      <c r="C40" s="139"/>
      <c r="D40" s="139"/>
      <c r="E40" s="86"/>
      <c r="F40" s="86"/>
    </row>
    <row r="41" spans="1:40" ht="18" customHeight="1">
      <c r="A41" s="131"/>
      <c r="B41" s="132"/>
      <c r="C41" s="132"/>
      <c r="D41" s="132"/>
      <c r="E41" s="86"/>
      <c r="F41" s="86"/>
    </row>
    <row r="42" spans="1:40" ht="2.25" customHeight="1">
      <c r="A42" s="133"/>
      <c r="B42" s="132"/>
      <c r="C42" s="132"/>
      <c r="D42" s="132"/>
      <c r="E42" s="86"/>
      <c r="F42" s="86"/>
    </row>
    <row r="43" spans="1:40" ht="15.75" hidden="1">
      <c r="A43" s="131"/>
      <c r="B43" s="132"/>
      <c r="C43" s="132"/>
      <c r="D43" s="132"/>
      <c r="E43" s="86"/>
      <c r="F43" s="86"/>
    </row>
    <row r="44" spans="1:40" ht="36.75" customHeight="1"/>
    <row r="45" spans="1:40">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row>
    <row r="46" spans="1:40">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row>
    <row r="47" spans="1:40">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row>
    <row r="48" spans="1:40">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row>
    <row r="49" spans="10:42" ht="18">
      <c r="J49" s="57"/>
      <c r="K49" s="57"/>
      <c r="L49" s="57"/>
      <c r="M49" s="57"/>
      <c r="N49" s="57"/>
      <c r="O49" s="57" t="s">
        <v>272</v>
      </c>
      <c r="P49" s="57"/>
      <c r="Q49" s="57"/>
      <c r="R49" s="57"/>
      <c r="S49" s="57"/>
      <c r="T49" s="57"/>
      <c r="U49" s="57"/>
      <c r="V49" s="57"/>
      <c r="W49" s="57"/>
      <c r="X49" s="57"/>
      <c r="Y49" s="57"/>
      <c r="Z49" s="58"/>
      <c r="AA49" s="58"/>
      <c r="AB49" s="58"/>
      <c r="AC49" s="61"/>
      <c r="AD49" s="61"/>
      <c r="AE49" s="970"/>
      <c r="AF49" s="970"/>
      <c r="AG49" s="54"/>
      <c r="AH49" s="250" t="s">
        <v>310</v>
      </c>
      <c r="AI49" s="54"/>
      <c r="AJ49" s="54"/>
      <c r="AK49" s="969"/>
      <c r="AL49" s="61"/>
      <c r="AM49" s="57"/>
      <c r="AN49" s="57"/>
    </row>
    <row r="50" spans="10:42" ht="15.75">
      <c r="J50" s="57"/>
      <c r="K50" s="57"/>
      <c r="L50" s="57"/>
      <c r="M50" s="57"/>
      <c r="N50" s="57"/>
      <c r="O50" s="57" t="s">
        <v>273</v>
      </c>
      <c r="P50" s="57"/>
      <c r="Q50" s="57"/>
      <c r="R50" s="57"/>
      <c r="S50" s="57"/>
      <c r="T50" s="57"/>
      <c r="U50" s="57"/>
      <c r="V50" s="57"/>
      <c r="W50" s="57"/>
      <c r="X50" s="57" t="str">
        <f>IF($B$5="&lt;5",$T$52,IF($B$5="5 to 7",$T$53,IF($B$5="&gt;7",$T$54,0)))</f>
        <v>&lt;5</v>
      </c>
      <c r="Y50" s="57"/>
      <c r="Z50" s="58"/>
      <c r="AA50" s="58"/>
      <c r="AB50" s="58"/>
      <c r="AC50" s="61"/>
      <c r="AD50" s="61"/>
      <c r="AE50" s="970"/>
      <c r="AF50" s="970"/>
      <c r="AG50" s="54"/>
      <c r="AH50" s="251" t="s">
        <v>311</v>
      </c>
      <c r="AI50" s="54"/>
      <c r="AJ50" s="54"/>
      <c r="AK50" s="969"/>
      <c r="AL50" s="61"/>
      <c r="AM50" s="57"/>
      <c r="AN50" s="57"/>
    </row>
    <row r="51" spans="10:42" ht="18.75">
      <c r="J51" s="57"/>
      <c r="K51" s="57"/>
      <c r="L51" s="57"/>
      <c r="M51" s="57"/>
      <c r="N51" s="57"/>
      <c r="O51" s="57" t="s">
        <v>274</v>
      </c>
      <c r="P51" s="57"/>
      <c r="Q51" s="57"/>
      <c r="R51" s="57"/>
      <c r="S51" s="57">
        <v>0</v>
      </c>
      <c r="T51" s="57"/>
      <c r="U51" s="57" t="s">
        <v>91</v>
      </c>
      <c r="V51" s="57" t="s">
        <v>146</v>
      </c>
      <c r="W51" s="57" t="s">
        <v>94</v>
      </c>
      <c r="X51" s="57"/>
      <c r="Y51" s="57"/>
      <c r="Z51" s="58"/>
      <c r="AA51" s="58"/>
      <c r="AB51" s="58"/>
      <c r="AC51" s="61"/>
      <c r="AD51" s="59"/>
      <c r="AE51" s="970"/>
      <c r="AF51" s="970"/>
      <c r="AG51" s="54"/>
      <c r="AH51" s="252" t="s">
        <v>312</v>
      </c>
      <c r="AI51" s="54"/>
      <c r="AJ51" s="54"/>
      <c r="AK51" s="969"/>
      <c r="AL51" s="59"/>
      <c r="AM51" s="57"/>
      <c r="AN51" s="57"/>
    </row>
    <row r="52" spans="10:42" ht="15.75">
      <c r="J52" s="57"/>
      <c r="K52" s="57"/>
      <c r="L52" s="57"/>
      <c r="M52" s="57"/>
      <c r="N52" s="57"/>
      <c r="O52" s="57" t="s">
        <v>275</v>
      </c>
      <c r="P52" s="57"/>
      <c r="Q52" s="57"/>
      <c r="R52" s="57"/>
      <c r="S52" s="57">
        <v>20</v>
      </c>
      <c r="T52" s="57" t="s">
        <v>17</v>
      </c>
      <c r="U52" s="57">
        <v>1.6800000000000002</v>
      </c>
      <c r="V52" s="57">
        <v>1.6720000000000002</v>
      </c>
      <c r="W52" s="57">
        <v>1.6560000000000001</v>
      </c>
      <c r="X52" s="57"/>
      <c r="Y52" s="57"/>
      <c r="Z52" s="89"/>
      <c r="AA52" s="89"/>
      <c r="AB52" s="89"/>
      <c r="AC52" s="89"/>
      <c r="AD52" s="59"/>
      <c r="AE52" s="970"/>
      <c r="AF52" s="970"/>
      <c r="AG52" s="54"/>
      <c r="AH52" s="54"/>
      <c r="AI52" s="54"/>
      <c r="AJ52" s="54"/>
      <c r="AK52" s="969"/>
      <c r="AL52" s="59"/>
      <c r="AM52" s="57"/>
      <c r="AN52" s="57"/>
    </row>
    <row r="53" spans="10:42" ht="15.75">
      <c r="J53" s="57"/>
      <c r="K53" s="57"/>
      <c r="L53" s="57"/>
      <c r="M53" s="57"/>
      <c r="N53" s="57"/>
      <c r="O53" s="57" t="s">
        <v>280</v>
      </c>
      <c r="P53" s="57"/>
      <c r="Q53" s="57"/>
      <c r="R53" s="57"/>
      <c r="S53" s="57">
        <v>25</v>
      </c>
      <c r="T53" s="57" t="s">
        <v>170</v>
      </c>
      <c r="U53" s="57">
        <v>1.722</v>
      </c>
      <c r="V53" s="57">
        <v>1.714</v>
      </c>
      <c r="W53" s="57">
        <v>1.6970000000000001</v>
      </c>
      <c r="X53" s="57"/>
      <c r="Y53" s="57"/>
      <c r="Z53" s="191"/>
      <c r="AA53" s="60"/>
      <c r="AB53" s="60"/>
      <c r="AC53" s="60"/>
      <c r="AD53" s="61"/>
      <c r="AE53" s="970"/>
      <c r="AF53" s="970"/>
      <c r="AG53" s="253" t="s">
        <v>96</v>
      </c>
      <c r="AH53" s="54"/>
      <c r="AI53" s="54"/>
      <c r="AJ53" s="54"/>
      <c r="AK53" s="969"/>
      <c r="AL53" s="61"/>
      <c r="AM53" s="57"/>
      <c r="AN53" s="57"/>
    </row>
    <row r="54" spans="10:42" ht="22.5" customHeight="1">
      <c r="J54" s="57"/>
      <c r="K54" s="57"/>
      <c r="L54" s="57"/>
      <c r="M54" s="57"/>
      <c r="N54" s="57"/>
      <c r="O54" s="57"/>
      <c r="P54" s="57"/>
      <c r="Q54" s="57"/>
      <c r="R54" s="57"/>
      <c r="S54" s="57">
        <v>35</v>
      </c>
      <c r="T54" s="57">
        <v>7.1</v>
      </c>
      <c r="U54" s="57">
        <v>1.764</v>
      </c>
      <c r="V54" s="57">
        <v>1.756</v>
      </c>
      <c r="W54" s="57">
        <v>1.7389999999999999</v>
      </c>
      <c r="X54" s="57"/>
      <c r="Y54" s="57"/>
      <c r="Z54" s="192"/>
      <c r="AA54" s="89"/>
      <c r="AB54" s="89"/>
      <c r="AC54" s="89"/>
      <c r="AD54" s="61"/>
      <c r="AE54" s="970"/>
      <c r="AF54" s="970"/>
      <c r="AG54" s="54"/>
      <c r="AH54" s="54"/>
      <c r="AI54" s="54"/>
      <c r="AJ54" s="54"/>
      <c r="AK54" s="969"/>
      <c r="AL54" s="61"/>
      <c r="AM54" s="57"/>
      <c r="AN54" s="57"/>
    </row>
    <row r="55" spans="10:42" ht="12.95" customHeight="1">
      <c r="J55" s="57"/>
      <c r="K55" s="57"/>
      <c r="L55" s="57"/>
      <c r="M55" s="57"/>
      <c r="N55" s="57"/>
      <c r="O55" s="57"/>
      <c r="P55" s="57"/>
      <c r="Q55" s="57"/>
      <c r="R55" s="57"/>
      <c r="S55" s="57">
        <v>45</v>
      </c>
      <c r="T55" s="57"/>
      <c r="U55" s="57"/>
      <c r="V55" s="57"/>
      <c r="W55" s="57"/>
      <c r="X55" s="57"/>
      <c r="Y55" s="57"/>
      <c r="Z55" s="192"/>
      <c r="AA55" s="89"/>
      <c r="AB55" s="89"/>
      <c r="AC55" s="89"/>
      <c r="AD55" s="61"/>
      <c r="AE55" s="970"/>
      <c r="AF55" s="970"/>
      <c r="AG55" s="1104" t="s">
        <v>313</v>
      </c>
      <c r="AH55" s="1104" t="s">
        <v>213</v>
      </c>
      <c r="AI55" s="1104" t="s">
        <v>11</v>
      </c>
      <c r="AJ55" s="1104" t="s">
        <v>46</v>
      </c>
      <c r="AK55" s="969"/>
      <c r="AL55" s="61"/>
      <c r="AM55" s="57"/>
      <c r="AN55" s="57"/>
    </row>
    <row r="56" spans="10:42" ht="36.75" customHeight="1">
      <c r="J56" s="57"/>
      <c r="K56" s="57"/>
      <c r="L56" s="57"/>
      <c r="M56" s="57"/>
      <c r="N56" s="57"/>
      <c r="O56" s="57"/>
      <c r="P56" s="57"/>
      <c r="Q56" s="57"/>
      <c r="R56" s="57"/>
      <c r="S56" s="57">
        <v>50</v>
      </c>
      <c r="T56" s="57"/>
      <c r="U56" s="57"/>
      <c r="V56" s="57"/>
      <c r="W56" s="57"/>
      <c r="X56" s="57"/>
      <c r="Y56" s="57"/>
      <c r="Z56" s="192"/>
      <c r="AA56" s="89"/>
      <c r="AB56" s="89"/>
      <c r="AC56" s="89"/>
      <c r="AD56" s="61"/>
      <c r="AE56" s="970"/>
      <c r="AF56" s="970"/>
      <c r="AG56" s="1104"/>
      <c r="AH56" s="1104"/>
      <c r="AI56" s="1104"/>
      <c r="AJ56" s="1104"/>
      <c r="AK56" s="969"/>
      <c r="AL56" s="61"/>
      <c r="AM56" s="57"/>
      <c r="AN56" s="57"/>
    </row>
    <row r="57" spans="10:42" ht="63">
      <c r="J57" s="57"/>
      <c r="K57" s="57"/>
      <c r="L57" s="57"/>
      <c r="M57" s="57"/>
      <c r="N57" s="57"/>
      <c r="O57" s="57"/>
      <c r="P57" s="57"/>
      <c r="Q57" s="57"/>
      <c r="R57" s="57"/>
      <c r="S57" s="57"/>
      <c r="T57" s="57"/>
      <c r="U57" s="57"/>
      <c r="V57" s="57"/>
      <c r="W57" s="57"/>
      <c r="X57" s="57"/>
      <c r="Y57" s="57"/>
      <c r="Z57" s="58"/>
      <c r="AA57" s="58"/>
      <c r="AB57" s="58"/>
      <c r="AC57" s="61"/>
      <c r="AD57" s="59"/>
      <c r="AE57" s="970"/>
      <c r="AF57" s="970"/>
      <c r="AG57" s="89" t="s">
        <v>314</v>
      </c>
      <c r="AH57" s="254">
        <v>1.19</v>
      </c>
      <c r="AI57" s="255">
        <v>1.202</v>
      </c>
      <c r="AJ57" s="255">
        <v>1.208</v>
      </c>
      <c r="AK57" s="969"/>
      <c r="AL57" s="59"/>
      <c r="AM57" s="57"/>
      <c r="AN57" s="57"/>
    </row>
    <row r="58" spans="10:42" ht="110.25">
      <c r="J58" s="57"/>
      <c r="K58" s="57"/>
      <c r="L58" s="57" t="s">
        <v>284</v>
      </c>
      <c r="M58" s="57" t="s">
        <v>285</v>
      </c>
      <c r="N58" s="57" t="s">
        <v>171</v>
      </c>
      <c r="O58" s="193" t="s">
        <v>172</v>
      </c>
      <c r="P58" s="193" t="s">
        <v>173</v>
      </c>
      <c r="Q58" s="193" t="s">
        <v>174</v>
      </c>
      <c r="R58" s="194"/>
      <c r="S58" s="57"/>
      <c r="T58" s="87"/>
      <c r="U58" s="87" t="s">
        <v>286</v>
      </c>
      <c r="V58" s="87" t="s">
        <v>193</v>
      </c>
      <c r="W58" s="87" t="s">
        <v>192</v>
      </c>
      <c r="X58" s="57"/>
      <c r="Y58" s="57"/>
      <c r="Z58" s="146"/>
      <c r="AA58" s="58"/>
      <c r="AB58" s="58"/>
      <c r="AC58" s="61"/>
      <c r="AD58" s="59"/>
      <c r="AE58" s="970"/>
      <c r="AF58" s="970"/>
      <c r="AG58" s="89" t="s">
        <v>315</v>
      </c>
      <c r="AH58" s="254">
        <v>1.22</v>
      </c>
      <c r="AI58" s="255">
        <v>1.232</v>
      </c>
      <c r="AJ58" s="255">
        <v>1.238</v>
      </c>
      <c r="AK58" s="969"/>
      <c r="AL58" s="59"/>
      <c r="AM58" s="57"/>
      <c r="AN58" s="57"/>
    </row>
    <row r="59" spans="10:42" ht="20.25" customHeight="1">
      <c r="J59" s="57"/>
      <c r="K59" s="57"/>
      <c r="L59" s="57" t="e">
        <f>IF(#REF!&gt;40000,O53,IF(#REF!&gt;20000,O52,IF(#REF!&gt;12000,O51,IF(#REF!&gt;7500,O50,IF(#REF!&gt;0,O49,0)))))</f>
        <v>#REF!</v>
      </c>
      <c r="M59" s="57" t="s">
        <v>17</v>
      </c>
      <c r="N59" s="57" t="s">
        <v>14</v>
      </c>
      <c r="O59" s="57" t="str">
        <f>IF($B$5="&lt;5",$T$52,IF($B$5="5 to 7",$T$53,IF($B$5="&gt;7",$T$54,0)))</f>
        <v>&lt;5</v>
      </c>
      <c r="P59" s="57" t="s">
        <v>46</v>
      </c>
      <c r="Q59" s="57" t="e">
        <f>IF(#REF!="&lt;1000",$U$60,IF(#REF!="1000-1500",$V$60,IF(#REF!="&gt;1500",$W$60,0)))</f>
        <v>#REF!</v>
      </c>
      <c r="R59" s="57"/>
      <c r="S59" s="57"/>
      <c r="T59" s="57" t="s">
        <v>17</v>
      </c>
      <c r="U59" s="57">
        <v>1.726</v>
      </c>
      <c r="V59" s="57">
        <v>1.7429999999999999</v>
      </c>
      <c r="W59" s="57">
        <v>1.7509999999999999</v>
      </c>
      <c r="X59" s="57"/>
      <c r="Y59" s="57"/>
      <c r="Z59" s="62"/>
      <c r="AA59" s="62"/>
      <c r="AB59" s="62"/>
      <c r="AC59" s="62"/>
      <c r="AD59" s="62"/>
      <c r="AE59" s="62"/>
      <c r="AF59" s="62"/>
      <c r="AG59" s="89" t="s">
        <v>316</v>
      </c>
      <c r="AH59" s="254">
        <v>1.25</v>
      </c>
      <c r="AI59" s="255">
        <v>1.262</v>
      </c>
      <c r="AJ59" s="255">
        <v>1.268</v>
      </c>
      <c r="AK59" s="83"/>
      <c r="AL59" s="83"/>
      <c r="AM59" s="57"/>
      <c r="AN59" s="57"/>
    </row>
    <row r="60" spans="10:42">
      <c r="J60" s="57"/>
      <c r="K60" s="57"/>
      <c r="L60" s="57"/>
      <c r="M60" s="57" t="s">
        <v>170</v>
      </c>
      <c r="N60" s="57" t="s">
        <v>50</v>
      </c>
      <c r="O60" s="57"/>
      <c r="P60" s="57" t="s">
        <v>11</v>
      </c>
      <c r="Q60" s="57"/>
      <c r="R60" s="57"/>
      <c r="S60" s="57"/>
      <c r="T60" s="57" t="s">
        <v>170</v>
      </c>
      <c r="U60" s="83">
        <v>1.77</v>
      </c>
      <c r="V60" s="83">
        <v>1.7869999999999999</v>
      </c>
      <c r="W60" s="83">
        <v>1.7949999999999999</v>
      </c>
      <c r="X60" s="57"/>
      <c r="Y60" s="57"/>
      <c r="Z60" s="62"/>
      <c r="AA60" s="62"/>
      <c r="AB60" s="62"/>
      <c r="AC60" s="62"/>
      <c r="AD60" s="62"/>
      <c r="AE60" s="62"/>
      <c r="AF60" s="62"/>
      <c r="AG60" s="54"/>
      <c r="AH60" s="54"/>
      <c r="AI60" s="54"/>
      <c r="AJ60" s="54"/>
      <c r="AK60" s="83"/>
      <c r="AL60" s="83"/>
      <c r="AM60" s="57"/>
      <c r="AN60" s="57"/>
    </row>
    <row r="61" spans="10:42">
      <c r="J61" s="57"/>
      <c r="K61" s="57"/>
      <c r="L61" s="57"/>
      <c r="M61" s="57" t="s">
        <v>195</v>
      </c>
      <c r="N61" s="57"/>
      <c r="O61" s="57"/>
      <c r="P61" s="57" t="s">
        <v>213</v>
      </c>
      <c r="Q61" s="57"/>
      <c r="R61" s="57"/>
      <c r="S61" s="57"/>
      <c r="T61" s="57">
        <v>7.1</v>
      </c>
      <c r="U61" s="83">
        <v>1.8120000000000001</v>
      </c>
      <c r="V61" s="83">
        <v>1.83</v>
      </c>
      <c r="W61" s="83">
        <v>1.839</v>
      </c>
      <c r="X61" s="57"/>
      <c r="Y61" s="57"/>
      <c r="Z61" s="62"/>
      <c r="AA61" s="62"/>
      <c r="AB61" s="62"/>
      <c r="AC61" s="62"/>
      <c r="AD61" s="62"/>
      <c r="AE61" s="62"/>
      <c r="AF61" s="62"/>
      <c r="AG61" s="54"/>
      <c r="AH61" s="54"/>
      <c r="AI61" s="54"/>
      <c r="AJ61" s="54"/>
      <c r="AK61" s="83"/>
      <c r="AL61" s="83"/>
      <c r="AM61" s="57"/>
      <c r="AN61" s="57"/>
    </row>
    <row r="62" spans="10:42">
      <c r="J62" s="57"/>
      <c r="K62" s="57"/>
      <c r="L62" s="57"/>
      <c r="M62" s="57"/>
      <c r="N62" s="57"/>
      <c r="O62" s="193" t="s">
        <v>38</v>
      </c>
      <c r="P62" s="57"/>
      <c r="Q62" s="57"/>
      <c r="R62" s="57"/>
      <c r="S62" s="57"/>
      <c r="T62" s="83"/>
      <c r="U62" s="83"/>
      <c r="V62" s="83"/>
      <c r="W62" s="83"/>
      <c r="X62" s="57"/>
      <c r="Y62" s="57"/>
      <c r="Z62" s="83"/>
      <c r="AA62" s="83"/>
      <c r="AB62" s="83"/>
      <c r="AC62" s="83"/>
      <c r="AD62" s="83"/>
      <c r="AE62" s="83"/>
      <c r="AF62" s="83"/>
      <c r="AG62" s="54"/>
      <c r="AH62" s="54"/>
      <c r="AI62" s="54"/>
      <c r="AJ62" s="54"/>
      <c r="AK62" s="83"/>
      <c r="AL62" s="83"/>
      <c r="AM62" s="57"/>
      <c r="AN62" s="57"/>
    </row>
    <row r="63" spans="10:42">
      <c r="J63" s="57"/>
      <c r="K63" s="57"/>
      <c r="L63" s="57"/>
      <c r="M63" s="57"/>
      <c r="N63" s="57"/>
      <c r="O63" s="57" t="s">
        <v>192</v>
      </c>
      <c r="P63" s="57">
        <f>IF($B$5="&lt;5",AJ57,IF($B$5="5 to 7",AJ58,IF($B$5="&gt;7",AJ59,0)))</f>
        <v>1.208</v>
      </c>
      <c r="Q63" s="57"/>
      <c r="R63" s="57"/>
      <c r="S63" s="57"/>
      <c r="T63" s="83"/>
      <c r="U63" s="83"/>
      <c r="V63" s="83"/>
      <c r="W63" s="83"/>
      <c r="X63" s="57"/>
      <c r="Y63" s="57"/>
      <c r="Z63" s="83"/>
      <c r="AA63" s="83"/>
      <c r="AB63" s="83"/>
      <c r="AC63" s="83"/>
      <c r="AD63" s="83"/>
      <c r="AE63" s="57"/>
      <c r="AF63" s="49"/>
      <c r="AG63" s="256" t="s">
        <v>317</v>
      </c>
      <c r="AH63" s="51"/>
      <c r="AI63" s="51"/>
      <c r="AJ63" s="51"/>
      <c r="AK63" s="49"/>
      <c r="AL63" s="49"/>
      <c r="AM63" s="57"/>
      <c r="AN63" s="57"/>
    </row>
    <row r="64" spans="10:42">
      <c r="J64" s="57"/>
      <c r="K64" s="57"/>
      <c r="L64" s="57"/>
      <c r="M64" s="57"/>
      <c r="N64" s="57"/>
      <c r="O64" s="57" t="s">
        <v>193</v>
      </c>
      <c r="P64" s="57">
        <f>IF($B$5="&lt;5",AI57,IF($B$5="5 to 7",AI58,IF($B$5="&gt;7",AI59,0)))</f>
        <v>1.202</v>
      </c>
      <c r="Q64" s="57"/>
      <c r="R64" s="57"/>
      <c r="S64" s="57"/>
      <c r="T64" s="1073"/>
      <c r="U64" s="1073"/>
      <c r="V64" s="1073"/>
      <c r="W64" s="1073"/>
      <c r="X64" s="57"/>
      <c r="Y64" s="57"/>
      <c r="Z64" s="83"/>
      <c r="AA64" s="83"/>
      <c r="AB64" s="83"/>
      <c r="AC64" s="83"/>
      <c r="AD64" s="83"/>
      <c r="AE64" s="49"/>
      <c r="AF64" s="49"/>
      <c r="AG64" s="51"/>
      <c r="AH64" s="51"/>
      <c r="AI64" s="51"/>
      <c r="AJ64" s="51"/>
      <c r="AK64" s="49"/>
      <c r="AL64" s="49"/>
      <c r="AM64" s="49"/>
      <c r="AN64" s="49"/>
      <c r="AO64" s="49"/>
      <c r="AP64" s="49"/>
    </row>
    <row r="65" spans="1:42" ht="12.95" customHeight="1">
      <c r="J65" s="57"/>
      <c r="K65" s="57"/>
      <c r="L65" s="57"/>
      <c r="M65" s="57"/>
      <c r="N65" s="57"/>
      <c r="O65" s="57" t="s">
        <v>286</v>
      </c>
      <c r="P65" s="57">
        <f>IF($B$5="&lt;5",AH57,IF($B$5="5 to 7",AH58,IF($B$5="&gt;7",AH59,0)))</f>
        <v>1.19</v>
      </c>
      <c r="Q65" s="57"/>
      <c r="R65" s="57"/>
      <c r="S65" s="57"/>
      <c r="T65" s="83"/>
      <c r="U65" s="83"/>
      <c r="V65" s="83"/>
      <c r="W65" s="83"/>
      <c r="X65" s="57"/>
      <c r="Y65" s="57"/>
      <c r="Z65" s="83"/>
      <c r="AA65" s="83"/>
      <c r="AB65" s="83"/>
      <c r="AC65" s="83"/>
      <c r="AD65" s="83"/>
      <c r="AE65" s="49"/>
      <c r="AF65" s="49"/>
      <c r="AG65" s="1109"/>
      <c r="AH65" s="1109"/>
      <c r="AI65" s="1109"/>
      <c r="AJ65" s="204" t="s">
        <v>318</v>
      </c>
      <c r="AK65" s="49"/>
      <c r="AL65" s="49"/>
      <c r="AM65" s="49"/>
      <c r="AN65" s="49"/>
      <c r="AO65" s="49"/>
      <c r="AP65" s="49"/>
    </row>
    <row r="66" spans="1:42" ht="12.95" customHeight="1">
      <c r="J66" s="57"/>
      <c r="K66" s="57"/>
      <c r="L66" s="57"/>
      <c r="M66" s="57"/>
      <c r="N66" s="57"/>
      <c r="O66" s="57"/>
      <c r="P66" s="57"/>
      <c r="Q66" s="57"/>
      <c r="R66" s="57"/>
      <c r="S66" s="57"/>
      <c r="T66" s="195"/>
      <c r="U66" s="196"/>
      <c r="V66" s="196"/>
      <c r="W66" s="196"/>
      <c r="X66" s="57"/>
      <c r="Y66" s="57"/>
      <c r="Z66" s="83"/>
      <c r="AA66" s="1073"/>
      <c r="AB66" s="1073"/>
      <c r="AC66" s="1073"/>
      <c r="AD66" s="1073"/>
      <c r="AE66" s="49"/>
      <c r="AF66" s="49"/>
      <c r="AG66" s="1105"/>
      <c r="AH66" s="1105"/>
      <c r="AI66" s="1105"/>
      <c r="AJ66" s="91" t="s">
        <v>319</v>
      </c>
      <c r="AK66" s="49"/>
      <c r="AL66" s="49"/>
      <c r="AM66" s="49"/>
      <c r="AN66" s="49"/>
      <c r="AO66" s="49"/>
      <c r="AP66" s="49"/>
    </row>
    <row r="67" spans="1:42" ht="12.95" customHeight="1">
      <c r="J67" s="57"/>
      <c r="K67" s="57"/>
      <c r="L67" s="57"/>
      <c r="M67" s="57"/>
      <c r="N67" s="57"/>
      <c r="O67" s="57"/>
      <c r="P67" s="57"/>
      <c r="Q67" s="57"/>
      <c r="R67" s="57"/>
      <c r="S67" s="57"/>
      <c r="T67" s="83"/>
      <c r="U67" s="83"/>
      <c r="V67" s="83"/>
      <c r="W67" s="83"/>
      <c r="X67" s="57"/>
      <c r="Y67" s="57"/>
      <c r="Z67" s="83"/>
      <c r="AA67" s="83"/>
      <c r="AB67" s="83"/>
      <c r="AC67" s="88"/>
      <c r="AD67" s="83"/>
      <c r="AE67" s="49"/>
      <c r="AF67" s="49"/>
      <c r="AG67" s="1105"/>
      <c r="AH67" s="1105"/>
      <c r="AI67" s="1105"/>
      <c r="AJ67" s="1106" t="s">
        <v>320</v>
      </c>
      <c r="AK67" s="49"/>
      <c r="AL67" s="49"/>
      <c r="AM67" s="49"/>
      <c r="AN67" s="49"/>
      <c r="AO67" s="49"/>
      <c r="AP67" s="49"/>
    </row>
    <row r="68" spans="1:42">
      <c r="J68" s="57"/>
      <c r="K68" s="57"/>
      <c r="L68" s="57"/>
      <c r="M68" s="57"/>
      <c r="N68" s="57"/>
      <c r="O68" s="57"/>
      <c r="P68" s="57"/>
      <c r="Q68" s="57"/>
      <c r="R68" s="57"/>
      <c r="S68" s="57"/>
      <c r="T68" s="83"/>
      <c r="U68" s="83"/>
      <c r="V68" s="83"/>
      <c r="W68" s="83"/>
      <c r="X68" s="57"/>
      <c r="Y68" s="57"/>
      <c r="Z68" s="83"/>
      <c r="AA68" s="84"/>
      <c r="AB68" s="84"/>
      <c r="AC68" s="84"/>
      <c r="AD68" s="84"/>
      <c r="AE68" s="49"/>
      <c r="AF68" s="49"/>
      <c r="AG68" s="1105"/>
      <c r="AH68" s="1105"/>
      <c r="AI68" s="1105"/>
      <c r="AJ68" s="1106"/>
      <c r="AK68" s="49"/>
      <c r="AL68" s="49"/>
      <c r="AM68" s="49"/>
      <c r="AN68" s="49"/>
      <c r="AO68" s="49"/>
      <c r="AP68" s="49"/>
    </row>
    <row r="69" spans="1:42" ht="12.95" customHeight="1">
      <c r="J69" s="57"/>
      <c r="K69" s="57"/>
      <c r="L69" s="57"/>
      <c r="M69" s="57"/>
      <c r="N69" s="57"/>
      <c r="O69" s="57"/>
      <c r="P69" s="57"/>
      <c r="Q69" s="57"/>
      <c r="R69" s="57"/>
      <c r="S69" s="57"/>
      <c r="T69" s="83"/>
      <c r="U69" s="83"/>
      <c r="V69" s="83"/>
      <c r="W69" s="83"/>
      <c r="X69" s="57"/>
      <c r="Y69" s="57"/>
      <c r="Z69" s="83"/>
      <c r="AA69" s="84"/>
      <c r="AB69" s="84"/>
      <c r="AC69" s="84"/>
      <c r="AD69" s="84"/>
      <c r="AE69" s="49"/>
      <c r="AF69" s="49"/>
      <c r="AG69" s="1105"/>
      <c r="AH69" s="1105"/>
      <c r="AI69" s="1105"/>
      <c r="AJ69" s="1106" t="s">
        <v>321</v>
      </c>
      <c r="AK69" s="49"/>
      <c r="AL69" s="49"/>
      <c r="AM69" s="49"/>
      <c r="AN69" s="49"/>
      <c r="AO69" s="49"/>
      <c r="AP69" s="49"/>
    </row>
    <row r="70" spans="1:42">
      <c r="J70" s="57"/>
      <c r="K70" s="57"/>
      <c r="L70" s="57"/>
      <c r="M70" s="57"/>
      <c r="N70" s="57"/>
      <c r="O70" s="57"/>
      <c r="P70" s="57"/>
      <c r="Q70" s="57"/>
      <c r="R70" s="57"/>
      <c r="S70" s="57"/>
      <c r="T70" s="83"/>
      <c r="U70" s="83"/>
      <c r="V70" s="83"/>
      <c r="W70" s="83"/>
      <c r="X70" s="57"/>
      <c r="Y70" s="57"/>
      <c r="Z70" s="83"/>
      <c r="AA70" s="84"/>
      <c r="AB70" s="84"/>
      <c r="AC70" s="84"/>
      <c r="AD70" s="84"/>
      <c r="AE70" s="49"/>
      <c r="AF70" s="49"/>
      <c r="AG70" s="1105"/>
      <c r="AH70" s="1105"/>
      <c r="AI70" s="1105"/>
      <c r="AJ70" s="1106"/>
      <c r="AK70" s="49"/>
      <c r="AL70" s="49"/>
      <c r="AM70" s="49"/>
      <c r="AN70" s="49"/>
      <c r="AO70" s="49"/>
      <c r="AP70" s="49"/>
    </row>
    <row r="71" spans="1:42">
      <c r="J71" s="57"/>
      <c r="K71" s="57"/>
      <c r="L71" s="57"/>
      <c r="M71" s="57"/>
      <c r="N71" s="57"/>
      <c r="O71" s="57"/>
      <c r="P71" s="57"/>
      <c r="Q71" s="57"/>
      <c r="R71" s="57"/>
      <c r="S71" s="57"/>
      <c r="T71" s="83"/>
      <c r="U71" s="83"/>
      <c r="V71" s="83"/>
      <c r="W71" s="83"/>
      <c r="X71" s="57"/>
      <c r="Y71" s="57"/>
      <c r="Z71" s="83"/>
      <c r="AA71" s="83"/>
      <c r="AB71" s="84"/>
      <c r="AC71" s="84"/>
      <c r="AD71" s="84"/>
      <c r="AE71" s="49"/>
      <c r="AF71" s="49"/>
      <c r="AG71" s="51"/>
      <c r="AH71" s="51"/>
      <c r="AI71" s="51"/>
      <c r="AJ71" s="51"/>
      <c r="AK71" s="49"/>
      <c r="AL71" s="49"/>
      <c r="AM71" s="49"/>
      <c r="AN71" s="49"/>
      <c r="AO71" s="49"/>
      <c r="AP71" s="49"/>
    </row>
    <row r="72" spans="1:42">
      <c r="A72" s="28"/>
      <c r="B72" s="28"/>
      <c r="C72" s="28"/>
      <c r="D72" s="28"/>
      <c r="E72" s="28"/>
      <c r="F72" s="28"/>
      <c r="J72" s="57"/>
      <c r="K72" s="57"/>
      <c r="L72" s="57"/>
      <c r="M72" s="57"/>
      <c r="N72" s="57"/>
      <c r="O72" s="57"/>
      <c r="P72" s="57"/>
      <c r="Q72" s="57"/>
      <c r="R72" s="57"/>
      <c r="S72" s="57"/>
      <c r="T72" s="83"/>
      <c r="U72" s="83"/>
      <c r="V72" s="83"/>
      <c r="W72" s="83"/>
      <c r="X72" s="57"/>
      <c r="Y72" s="57"/>
      <c r="Z72" s="83"/>
      <c r="AA72" s="83"/>
      <c r="AB72" s="83"/>
      <c r="AC72" s="83"/>
      <c r="AD72" s="83"/>
      <c r="AE72" s="49"/>
      <c r="AF72" s="49"/>
      <c r="AG72" s="257" t="s">
        <v>322</v>
      </c>
      <c r="AH72" s="51"/>
      <c r="AI72" s="51"/>
      <c r="AJ72" s="51"/>
      <c r="AK72" s="49"/>
      <c r="AL72" s="49"/>
      <c r="AM72" s="49"/>
      <c r="AN72" s="49"/>
      <c r="AO72" s="49"/>
      <c r="AP72" s="49"/>
    </row>
    <row r="73" spans="1:42" ht="15.75">
      <c r="A73" s="28"/>
      <c r="B73" s="28"/>
      <c r="C73" s="28"/>
      <c r="D73" s="28"/>
      <c r="E73" s="28"/>
      <c r="F73" s="28"/>
      <c r="J73" s="57"/>
      <c r="K73" s="57"/>
      <c r="L73" s="57"/>
      <c r="M73" s="57"/>
      <c r="N73" s="57"/>
      <c r="O73" s="57"/>
      <c r="P73" s="57"/>
      <c r="Q73" s="57"/>
      <c r="R73" s="57"/>
      <c r="S73" s="57"/>
      <c r="T73" s="57"/>
      <c r="U73" s="57"/>
      <c r="V73" s="57"/>
      <c r="W73" s="57"/>
      <c r="X73" s="57"/>
      <c r="Y73" s="57"/>
      <c r="Z73" s="83"/>
      <c r="AA73" s="83"/>
      <c r="AB73" s="83"/>
      <c r="AC73" s="83"/>
      <c r="AD73" s="83"/>
      <c r="AE73" s="49"/>
      <c r="AF73" s="49"/>
      <c r="AG73" s="1107" t="s">
        <v>323</v>
      </c>
      <c r="AH73" s="1107"/>
      <c r="AI73" s="1107"/>
      <c r="AJ73" s="1107"/>
      <c r="AK73" s="49"/>
      <c r="AL73" s="49"/>
      <c r="AM73" s="49"/>
      <c r="AN73" s="49"/>
      <c r="AO73" s="49"/>
      <c r="AP73" s="49"/>
    </row>
    <row r="74" spans="1:42" ht="37.5">
      <c r="A74" s="149"/>
      <c r="B74" s="117"/>
      <c r="C74" s="117"/>
      <c r="D74" s="117"/>
      <c r="E74" s="117"/>
      <c r="F74" s="150"/>
      <c r="J74" s="57"/>
      <c r="K74" s="57"/>
      <c r="L74" s="57"/>
      <c r="M74" s="57"/>
      <c r="N74" s="57"/>
      <c r="O74" s="57"/>
      <c r="P74" s="57"/>
      <c r="Q74" s="57"/>
      <c r="R74" s="57"/>
      <c r="S74" s="57"/>
      <c r="T74" s="57"/>
      <c r="U74" s="57"/>
      <c r="V74" s="57"/>
      <c r="W74" s="57"/>
      <c r="X74" s="57"/>
      <c r="Y74" s="57"/>
      <c r="Z74" s="83"/>
      <c r="AA74" s="83"/>
      <c r="AB74" s="83"/>
      <c r="AC74" s="83"/>
      <c r="AD74" s="83"/>
      <c r="AE74" s="49"/>
      <c r="AF74" s="49"/>
      <c r="AG74" s="258"/>
      <c r="AH74" s="259"/>
      <c r="AI74" s="259"/>
      <c r="AJ74" s="259"/>
      <c r="AK74" s="49"/>
      <c r="AL74" s="49"/>
      <c r="AM74" s="49"/>
      <c r="AN74" s="49"/>
      <c r="AO74" s="49"/>
      <c r="AP74" s="49"/>
    </row>
    <row r="75" spans="1:42" ht="23.25">
      <c r="A75" s="129"/>
      <c r="B75" s="151"/>
      <c r="C75" s="151"/>
      <c r="D75" s="151"/>
      <c r="E75" s="151"/>
      <c r="F75" s="151"/>
      <c r="Z75" s="260"/>
      <c r="AA75" s="260"/>
      <c r="AB75" s="260"/>
      <c r="AC75" s="260"/>
      <c r="AD75" s="260"/>
      <c r="AE75" s="49"/>
      <c r="AF75" s="49"/>
      <c r="AG75" s="258" t="s">
        <v>324</v>
      </c>
      <c r="AH75" s="259"/>
      <c r="AI75" s="259"/>
      <c r="AJ75" s="259"/>
      <c r="AK75" s="49"/>
      <c r="AL75" s="49"/>
      <c r="AM75" s="49"/>
      <c r="AN75" s="49"/>
      <c r="AO75" s="49"/>
      <c r="AP75" s="49"/>
    </row>
    <row r="76" spans="1:42" ht="15.75">
      <c r="A76" s="86"/>
      <c r="B76" s="86"/>
      <c r="C76" s="86"/>
      <c r="D76" s="86"/>
      <c r="E76" s="86"/>
      <c r="F76" s="86"/>
      <c r="AF76" s="90"/>
      <c r="AG76" s="258" t="s">
        <v>325</v>
      </c>
      <c r="AH76" s="259"/>
      <c r="AI76" s="259"/>
      <c r="AJ76" s="259"/>
      <c r="AK76" s="49"/>
      <c r="AL76" s="49"/>
      <c r="AM76" s="49"/>
      <c r="AN76" s="49"/>
      <c r="AO76" s="49"/>
      <c r="AP76" s="49"/>
    </row>
    <row r="77" spans="1:42" ht="17.25" customHeight="1">
      <c r="A77" s="131"/>
      <c r="B77" s="132"/>
      <c r="C77" s="132"/>
      <c r="D77" s="132"/>
      <c r="E77" s="132"/>
      <c r="F77" s="132"/>
      <c r="AF77" s="90"/>
      <c r="AG77" s="258" t="s">
        <v>326</v>
      </c>
      <c r="AH77" s="259"/>
      <c r="AI77" s="259"/>
      <c r="AJ77" s="259"/>
      <c r="AK77" s="49"/>
      <c r="AL77" s="49"/>
      <c r="AM77" s="49"/>
      <c r="AN77" s="49"/>
      <c r="AO77" s="49"/>
      <c r="AP77" s="49"/>
    </row>
    <row r="78" spans="1:42" ht="15.75">
      <c r="A78" s="133"/>
      <c r="B78" s="132"/>
      <c r="C78" s="132"/>
      <c r="D78" s="132"/>
      <c r="E78" s="132"/>
      <c r="F78" s="132"/>
      <c r="AF78" s="90"/>
      <c r="AG78" s="258" t="s">
        <v>327</v>
      </c>
      <c r="AH78" s="259"/>
      <c r="AI78" s="259"/>
      <c r="AJ78" s="259"/>
      <c r="AK78" s="49"/>
      <c r="AL78" s="49"/>
      <c r="AM78" s="49"/>
      <c r="AN78" s="49"/>
      <c r="AO78" s="49"/>
      <c r="AP78" s="49"/>
    </row>
    <row r="79" spans="1:42" ht="15.75">
      <c r="A79" s="131"/>
      <c r="B79" s="132"/>
      <c r="C79" s="132"/>
      <c r="D79" s="132"/>
      <c r="E79" s="132"/>
      <c r="F79" s="132"/>
      <c r="AF79" s="90"/>
      <c r="AG79" s="258" t="s">
        <v>328</v>
      </c>
      <c r="AH79" s="259"/>
      <c r="AI79" s="259"/>
      <c r="AJ79" s="259"/>
      <c r="AK79" s="49"/>
      <c r="AL79" s="49"/>
      <c r="AM79" s="49"/>
      <c r="AN79" s="49"/>
      <c r="AO79" s="49"/>
      <c r="AP79" s="49"/>
    </row>
    <row r="80" spans="1:42" ht="15.75" customHeight="1">
      <c r="A80" s="86"/>
      <c r="B80" s="86"/>
      <c r="C80" s="86"/>
      <c r="D80" s="86"/>
      <c r="E80" s="86"/>
      <c r="F80" s="86"/>
      <c r="AF80" s="90"/>
      <c r="AG80" s="1108" t="s">
        <v>329</v>
      </c>
      <c r="AH80" s="1108"/>
      <c r="AI80" s="1108"/>
      <c r="AJ80" s="1108"/>
      <c r="AK80" s="49"/>
      <c r="AL80" s="49"/>
      <c r="AM80" s="49"/>
      <c r="AN80" s="49"/>
      <c r="AO80" s="49"/>
      <c r="AP80" s="49"/>
    </row>
    <row r="81" spans="1:42" ht="23.25">
      <c r="A81" s="129"/>
      <c r="B81" s="151"/>
      <c r="C81" s="151"/>
      <c r="D81" s="151"/>
      <c r="E81" s="151"/>
      <c r="F81" s="151"/>
      <c r="AF81" s="90"/>
      <c r="AG81" s="261"/>
      <c r="AH81" s="261"/>
      <c r="AI81" s="261"/>
      <c r="AJ81" s="261"/>
      <c r="AK81" s="49"/>
      <c r="AL81" s="49"/>
      <c r="AM81" s="49"/>
      <c r="AN81" s="49"/>
      <c r="AO81" s="49"/>
      <c r="AP81" s="49"/>
    </row>
    <row r="82" spans="1:42">
      <c r="A82" s="86"/>
      <c r="B82" s="86"/>
      <c r="C82" s="86"/>
      <c r="D82" s="86"/>
      <c r="E82" s="86"/>
      <c r="F82" s="86"/>
      <c r="AF82" s="90"/>
      <c r="AG82" s="261"/>
      <c r="AH82" s="261"/>
      <c r="AI82" s="261"/>
      <c r="AJ82" s="261"/>
      <c r="AK82" s="49"/>
      <c r="AL82" s="49"/>
      <c r="AM82" s="49"/>
      <c r="AN82" s="49"/>
      <c r="AO82" s="49"/>
      <c r="AP82" s="49"/>
    </row>
    <row r="83" spans="1:42" ht="15.75">
      <c r="A83" s="131"/>
      <c r="B83" s="132"/>
      <c r="C83" s="132"/>
      <c r="D83" s="132"/>
      <c r="E83" s="132"/>
      <c r="F83" s="132"/>
      <c r="AF83" s="90"/>
      <c r="AG83" s="261"/>
      <c r="AH83" s="261"/>
      <c r="AI83" s="261"/>
      <c r="AJ83" s="261"/>
      <c r="AK83" s="49"/>
      <c r="AL83" s="49"/>
      <c r="AM83" s="49"/>
      <c r="AN83" s="49"/>
      <c r="AO83" s="49"/>
      <c r="AP83" s="49"/>
    </row>
    <row r="84" spans="1:42" ht="15.75">
      <c r="A84" s="133"/>
      <c r="B84" s="132"/>
      <c r="C84" s="132"/>
      <c r="D84" s="132"/>
      <c r="E84" s="132"/>
      <c r="F84" s="132"/>
      <c r="AF84" s="90"/>
      <c r="AG84" s="49"/>
      <c r="AH84" s="49"/>
      <c r="AI84" s="49"/>
      <c r="AJ84" s="49"/>
      <c r="AK84" s="49"/>
      <c r="AL84" s="49"/>
      <c r="AM84" s="49"/>
      <c r="AN84" s="49"/>
      <c r="AO84" s="49"/>
      <c r="AP84" s="49"/>
    </row>
    <row r="85" spans="1:42" ht="15.75">
      <c r="A85" s="131"/>
      <c r="B85" s="132"/>
      <c r="C85" s="132"/>
      <c r="D85" s="132"/>
      <c r="E85" s="132"/>
      <c r="F85" s="132"/>
      <c r="AF85" s="90"/>
      <c r="AG85" s="49"/>
      <c r="AH85" s="49"/>
      <c r="AI85" s="49"/>
      <c r="AJ85" s="49"/>
      <c r="AK85" s="49"/>
      <c r="AL85" s="49"/>
      <c r="AM85" s="49"/>
      <c r="AN85" s="49"/>
      <c r="AO85" s="49"/>
      <c r="AP85" s="49"/>
    </row>
    <row r="86" spans="1:42">
      <c r="A86" s="86"/>
      <c r="B86" s="86"/>
      <c r="C86" s="86"/>
      <c r="D86" s="86"/>
      <c r="E86" s="86"/>
      <c r="F86" s="86"/>
      <c r="AF86" s="90"/>
      <c r="AG86" s="49"/>
      <c r="AH86" s="49"/>
      <c r="AI86" s="49"/>
      <c r="AJ86" s="49"/>
      <c r="AK86" s="49"/>
      <c r="AL86" s="49"/>
      <c r="AM86" s="49"/>
      <c r="AN86" s="49"/>
      <c r="AO86" s="49"/>
      <c r="AP86" s="49"/>
    </row>
    <row r="87" spans="1:42" ht="23.25">
      <c r="A87" s="129"/>
      <c r="B87" s="151"/>
      <c r="C87" s="151"/>
      <c r="D87" s="151"/>
      <c r="E87" s="151"/>
      <c r="F87" s="151"/>
      <c r="AF87" s="90"/>
      <c r="AG87" s="49"/>
      <c r="AH87" s="49"/>
      <c r="AI87" s="49"/>
      <c r="AJ87" s="49"/>
      <c r="AK87" s="49"/>
      <c r="AL87" s="49" t="s">
        <v>330</v>
      </c>
      <c r="AM87" s="49"/>
      <c r="AN87" s="49"/>
      <c r="AO87" s="49"/>
      <c r="AP87" s="49"/>
    </row>
    <row r="88" spans="1:42">
      <c r="A88" s="86"/>
      <c r="B88" s="86"/>
      <c r="C88" s="86"/>
      <c r="D88" s="86"/>
      <c r="E88" s="86"/>
      <c r="F88" s="86"/>
      <c r="AG88" s="49"/>
      <c r="AH88" s="49"/>
      <c r="AI88" s="49"/>
      <c r="AJ88" s="49"/>
      <c r="AK88" s="49"/>
      <c r="AL88" s="49"/>
      <c r="AM88" s="49"/>
      <c r="AN88" s="49"/>
      <c r="AO88" s="49"/>
      <c r="AP88" s="49"/>
    </row>
    <row r="89" spans="1:42" ht="15.75">
      <c r="A89" s="131"/>
      <c r="B89" s="132"/>
      <c r="C89" s="132"/>
      <c r="D89" s="132"/>
      <c r="E89" s="132"/>
      <c r="F89" s="132"/>
      <c r="AG89" s="49"/>
      <c r="AH89" s="49"/>
      <c r="AI89" s="49"/>
      <c r="AJ89" s="49"/>
      <c r="AK89" s="49"/>
      <c r="AL89" s="49"/>
      <c r="AM89" s="49"/>
      <c r="AN89" s="49"/>
      <c r="AO89" s="49"/>
      <c r="AP89" s="49"/>
    </row>
    <row r="90" spans="1:42" ht="15.75">
      <c r="A90" s="133"/>
      <c r="B90" s="132"/>
      <c r="C90" s="132"/>
      <c r="D90" s="132"/>
      <c r="E90" s="132"/>
      <c r="F90" s="132"/>
    </row>
    <row r="91" spans="1:42" ht="15.75">
      <c r="A91" s="131"/>
      <c r="B91" s="132"/>
      <c r="C91" s="132"/>
      <c r="D91" s="132"/>
      <c r="E91" s="132"/>
      <c r="F91" s="132"/>
    </row>
    <row r="92" spans="1:42">
      <c r="A92" s="86"/>
      <c r="B92" s="86"/>
      <c r="C92" s="86"/>
      <c r="D92" s="86"/>
      <c r="E92" s="86"/>
      <c r="F92" s="86"/>
    </row>
    <row r="93" spans="1:42" ht="37.5">
      <c r="A93" s="149"/>
      <c r="B93" s="86"/>
      <c r="C93" s="86"/>
      <c r="D93" s="86"/>
      <c r="E93" s="86"/>
      <c r="F93" s="150"/>
    </row>
    <row r="94" spans="1:42" ht="17.25" customHeight="1">
      <c r="A94" s="129"/>
      <c r="B94" s="151"/>
      <c r="C94" s="151"/>
      <c r="D94" s="151"/>
      <c r="E94" s="151"/>
      <c r="F94" s="151"/>
    </row>
    <row r="95" spans="1:42">
      <c r="A95" s="86"/>
      <c r="B95" s="86"/>
      <c r="C95" s="86"/>
      <c r="D95" s="86"/>
      <c r="E95" s="86"/>
      <c r="F95" s="86"/>
    </row>
    <row r="96" spans="1:42" ht="15.75">
      <c r="A96" s="131"/>
      <c r="B96" s="132"/>
      <c r="C96" s="132"/>
      <c r="D96" s="132"/>
      <c r="E96" s="132"/>
      <c r="F96" s="132"/>
    </row>
    <row r="97" spans="1:6" ht="15" customHeight="1">
      <c r="A97" s="133"/>
      <c r="B97" s="132"/>
      <c r="C97" s="132"/>
      <c r="D97" s="132"/>
      <c r="E97" s="132"/>
      <c r="F97" s="132"/>
    </row>
    <row r="98" spans="1:6" ht="15.75">
      <c r="A98" s="131"/>
      <c r="B98" s="132"/>
      <c r="C98" s="132"/>
      <c r="D98" s="132"/>
      <c r="E98" s="132"/>
      <c r="F98" s="132"/>
    </row>
    <row r="99" spans="1:6">
      <c r="A99" s="86"/>
      <c r="B99" s="150"/>
      <c r="C99" s="150"/>
      <c r="D99" s="150"/>
      <c r="E99" s="150"/>
      <c r="F99" s="86"/>
    </row>
    <row r="100" spans="1:6" ht="23.25">
      <c r="A100" s="129"/>
      <c r="B100" s="151"/>
      <c r="C100" s="151"/>
      <c r="D100" s="151"/>
      <c r="E100" s="151"/>
      <c r="F100" s="151"/>
    </row>
    <row r="101" spans="1:6">
      <c r="A101" s="86"/>
      <c r="B101" s="86"/>
      <c r="C101" s="86"/>
      <c r="D101" s="86"/>
      <c r="E101" s="86"/>
      <c r="F101" s="86"/>
    </row>
    <row r="102" spans="1:6" ht="15.75">
      <c r="A102" s="131"/>
      <c r="B102" s="132"/>
      <c r="C102" s="132"/>
      <c r="D102" s="132"/>
      <c r="E102" s="132"/>
      <c r="F102" s="132"/>
    </row>
    <row r="103" spans="1:6" ht="15.75">
      <c r="A103" s="133"/>
      <c r="B103" s="132"/>
      <c r="C103" s="132"/>
      <c r="D103" s="132"/>
      <c r="E103" s="132"/>
      <c r="F103" s="132"/>
    </row>
    <row r="104" spans="1:6" ht="15.75">
      <c r="A104" s="131"/>
      <c r="B104" s="132"/>
      <c r="C104" s="132"/>
      <c r="D104" s="132"/>
      <c r="E104" s="132"/>
      <c r="F104" s="132"/>
    </row>
    <row r="105" spans="1:6">
      <c r="A105" s="86"/>
      <c r="B105" s="86"/>
      <c r="C105" s="86"/>
      <c r="D105" s="86"/>
      <c r="E105" s="86"/>
      <c r="F105" s="86"/>
    </row>
    <row r="106" spans="1:6" ht="23.25">
      <c r="A106" s="129"/>
      <c r="B106" s="151"/>
      <c r="C106" s="151"/>
      <c r="D106" s="151"/>
      <c r="E106" s="151"/>
      <c r="F106" s="151"/>
    </row>
    <row r="107" spans="1:6">
      <c r="A107" s="86"/>
      <c r="B107" s="86"/>
      <c r="C107" s="86"/>
      <c r="D107" s="86"/>
      <c r="E107" s="86"/>
      <c r="F107" s="117"/>
    </row>
    <row r="108" spans="1:6" ht="15.75">
      <c r="A108" s="131"/>
      <c r="B108" s="132"/>
      <c r="C108" s="132"/>
      <c r="D108" s="132"/>
      <c r="E108" s="132"/>
      <c r="F108" s="130"/>
    </row>
    <row r="109" spans="1:6" ht="15.75">
      <c r="A109" s="133"/>
      <c r="B109" s="132"/>
      <c r="C109" s="132"/>
      <c r="D109" s="132"/>
      <c r="E109" s="132"/>
      <c r="F109" s="130"/>
    </row>
    <row r="110" spans="1:6" ht="15.75">
      <c r="A110" s="131"/>
      <c r="B110" s="132"/>
      <c r="C110" s="132"/>
      <c r="D110" s="132"/>
      <c r="E110" s="132"/>
      <c r="F110" s="130"/>
    </row>
    <row r="111" spans="1:6" ht="40.5">
      <c r="A111" s="152"/>
      <c r="B111" s="86"/>
      <c r="C111" s="86"/>
      <c r="D111" s="86"/>
      <c r="E111" s="86"/>
      <c r="F111" s="117"/>
    </row>
    <row r="112" spans="1:6" ht="23.25">
      <c r="A112" s="86"/>
      <c r="B112" s="129"/>
      <c r="C112" s="129"/>
      <c r="D112" s="129"/>
      <c r="E112" s="86"/>
      <c r="F112" s="86"/>
    </row>
    <row r="113" spans="1:6" ht="15.75">
      <c r="A113" s="131"/>
      <c r="B113" s="132"/>
      <c r="C113" s="132"/>
      <c r="D113" s="132"/>
      <c r="E113" s="86"/>
      <c r="F113" s="86"/>
    </row>
    <row r="114" spans="1:6" ht="15.75">
      <c r="A114" s="133"/>
      <c r="B114" s="132"/>
      <c r="C114" s="132"/>
      <c r="D114" s="132"/>
      <c r="E114" s="86"/>
      <c r="F114" s="86"/>
    </row>
    <row r="115" spans="1:6" ht="15" customHeight="1">
      <c r="A115" s="131"/>
      <c r="B115" s="132"/>
      <c r="C115" s="132"/>
      <c r="D115" s="132"/>
      <c r="E115" s="86"/>
      <c r="F115" s="86"/>
    </row>
    <row r="116" spans="1:6" ht="38.25">
      <c r="A116" s="153"/>
      <c r="B116" s="150"/>
      <c r="C116" s="86"/>
      <c r="D116" s="86"/>
      <c r="E116" s="86"/>
      <c r="F116" s="86"/>
    </row>
    <row r="117" spans="1:6" ht="23.25">
      <c r="A117" s="132"/>
      <c r="B117" s="129"/>
      <c r="C117" s="129"/>
      <c r="D117" s="129"/>
      <c r="E117" s="86"/>
      <c r="F117" s="86"/>
    </row>
    <row r="118" spans="1:6">
      <c r="A118" s="86"/>
      <c r="B118" s="150"/>
      <c r="C118" s="86"/>
      <c r="D118" s="86"/>
      <c r="E118" s="86"/>
      <c r="F118" s="86"/>
    </row>
    <row r="119" spans="1:6" ht="15.75">
      <c r="A119" s="131"/>
      <c r="B119" s="132"/>
      <c r="C119" s="132"/>
      <c r="D119" s="132"/>
      <c r="E119" s="86"/>
      <c r="F119" s="86"/>
    </row>
    <row r="120" spans="1:6" ht="15.75">
      <c r="A120" s="133"/>
      <c r="B120" s="132"/>
      <c r="C120" s="132"/>
      <c r="D120" s="132"/>
      <c r="E120" s="86"/>
      <c r="F120" s="86"/>
    </row>
    <row r="121" spans="1:6" ht="15.75">
      <c r="A121" s="131"/>
      <c r="B121" s="132"/>
      <c r="C121" s="132"/>
      <c r="D121" s="132"/>
      <c r="E121" s="150"/>
      <c r="F121" s="86"/>
    </row>
    <row r="122" spans="1:6" ht="45">
      <c r="A122" s="138"/>
      <c r="B122" s="86"/>
      <c r="C122" s="86"/>
      <c r="D122" s="86"/>
      <c r="E122" s="86"/>
      <c r="F122" s="86"/>
    </row>
    <row r="123" spans="1:6" ht="18.75" customHeight="1">
      <c r="A123" s="130"/>
      <c r="B123" s="129"/>
      <c r="C123" s="129"/>
      <c r="D123" s="129"/>
      <c r="E123" s="86"/>
      <c r="F123" s="86"/>
    </row>
    <row r="124" spans="1:6" ht="15.75">
      <c r="A124" s="131"/>
      <c r="B124" s="132"/>
      <c r="C124" s="132"/>
      <c r="D124" s="132"/>
      <c r="E124" s="86"/>
      <c r="F124" s="86"/>
    </row>
    <row r="125" spans="1:6" ht="15.75">
      <c r="A125" s="133"/>
      <c r="B125" s="130"/>
      <c r="C125" s="132"/>
      <c r="D125" s="132"/>
      <c r="E125" s="86"/>
      <c r="F125" s="86"/>
    </row>
    <row r="126" spans="1:6" ht="15.75">
      <c r="A126" s="131"/>
      <c r="B126" s="130"/>
      <c r="C126" s="132"/>
      <c r="D126" s="132"/>
      <c r="E126" s="86"/>
      <c r="F126" s="86"/>
    </row>
    <row r="127" spans="1:6">
      <c r="A127" s="28"/>
      <c r="B127" s="28"/>
      <c r="C127" s="28"/>
      <c r="D127" s="28"/>
      <c r="E127" s="28"/>
      <c r="F127" s="28"/>
    </row>
    <row r="128" spans="1:6">
      <c r="A128" s="28"/>
      <c r="B128" s="28"/>
      <c r="C128" s="28"/>
      <c r="D128" s="28"/>
      <c r="E128" s="28"/>
      <c r="F128" s="28"/>
    </row>
    <row r="129" spans="1:6">
      <c r="A129" s="28"/>
      <c r="B129" s="28"/>
      <c r="C129" s="28"/>
      <c r="D129" s="28"/>
      <c r="E129" s="28"/>
      <c r="F129" s="28"/>
    </row>
    <row r="130" spans="1:6" ht="17.25" customHeight="1">
      <c r="A130" s="28"/>
      <c r="B130" s="28"/>
      <c r="C130" s="28"/>
      <c r="D130" s="28"/>
      <c r="E130" s="28"/>
      <c r="F130" s="28"/>
    </row>
  </sheetData>
  <sheetProtection password="F7EB" sheet="1" objects="1" scenarios="1"/>
  <mergeCells count="34">
    <mergeCell ref="AG69:AI70"/>
    <mergeCell ref="AJ69:AJ70"/>
    <mergeCell ref="AG73:AJ73"/>
    <mergeCell ref="AG80:AJ80"/>
    <mergeCell ref="T64:W64"/>
    <mergeCell ref="AG65:AI65"/>
    <mergeCell ref="AA66:AD66"/>
    <mergeCell ref="AG66:AI66"/>
    <mergeCell ref="AG67:AI68"/>
    <mergeCell ref="AJ67:AJ68"/>
    <mergeCell ref="AE53:AE54"/>
    <mergeCell ref="AF53:AF54"/>
    <mergeCell ref="AK53:AK54"/>
    <mergeCell ref="AE55:AE58"/>
    <mergeCell ref="AF55:AF58"/>
    <mergeCell ref="AG55:AG56"/>
    <mergeCell ref="AH55:AH56"/>
    <mergeCell ref="AI55:AI56"/>
    <mergeCell ref="AJ55:AJ56"/>
    <mergeCell ref="AK55:AK58"/>
    <mergeCell ref="AK49:AK52"/>
    <mergeCell ref="A1:F1"/>
    <mergeCell ref="H1:I1"/>
    <mergeCell ref="H2:I2"/>
    <mergeCell ref="H3:I3"/>
    <mergeCell ref="H4:I4"/>
    <mergeCell ref="H5:I5"/>
    <mergeCell ref="A8:B8"/>
    <mergeCell ref="C8:D8"/>
    <mergeCell ref="AE49:AE52"/>
    <mergeCell ref="AF49:AF52"/>
    <mergeCell ref="G8:I10"/>
    <mergeCell ref="G11:H11"/>
    <mergeCell ref="G12:H12"/>
  </mergeCells>
  <conditionalFormatting sqref="C11:D11 C5">
    <cfRule type="expression" dxfId="0" priority="1">
      <formula>$B$4="Misc"</formula>
    </cfRule>
  </conditionalFormatting>
  <dataValidations count="7">
    <dataValidation type="list" operator="equal" allowBlank="1" showErrorMessage="1" sqref="B3">
      <formula1>GCV_ZONE</formula1>
    </dataValidation>
    <dataValidation type="list" operator="equal" allowBlank="1" showErrorMessage="1" sqref="F3">
      <formula1>"Yes, No"</formula1>
    </dataValidation>
    <dataValidation type="list" operator="equal" allowBlank="1" showErrorMessage="1" sqref="B5">
      <formula1>"&lt;5, 5 to 7, &gt;7"</formula1>
    </dataValidation>
    <dataValidation type="list" operator="equal" allowBlank="1" showErrorMessage="1" sqref="B6">
      <formula1>"0,20,25,35,45,50"</formula1>
    </dataValidation>
    <dataValidation type="list" operator="equal" allowBlank="1" showErrorMessage="1" sqref="B4">
      <formula1>"Misc, Ambulance, Hearses"</formula1>
    </dataValidation>
    <dataValidation type="list" allowBlank="1" showInputMessage="1" showErrorMessage="1" sqref="D9">
      <formula1>"6847,1550"</formula1>
    </dataValidation>
    <dataValidation type="list" operator="equal" allowBlank="1" showErrorMessage="1" sqref="D4 D3">
      <formula1>"Yes, No"</formula1>
    </dataValidation>
  </dataValidations>
  <hyperlinks>
    <hyperlink ref="H1" location="Motor Home Page!a1" display="Motor Home Page"/>
  </hyperlinks>
  <pageMargins left="0.70866141732283472" right="0.70866141732283472" top="0.74803149606299213" bottom="0.74803149606299213" header="0.31496062992125984" footer="0.51181102362204722"/>
  <pageSetup scale="85" firstPageNumber="0" orientation="landscape" horizontalDpi="300" verticalDpi="300" r:id="rId1"/>
  <headerFooter alignWithMargins="0">
    <oddHeader>&amp;CDesigned By Prashanth Komarraju</oddHeader>
  </headerFooter>
  <colBreaks count="1" manualBreakCount="1">
    <brk id="6"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SheetLayoutView="51" workbookViewId="0">
      <selection activeCell="D2" sqref="D2"/>
    </sheetView>
  </sheetViews>
  <sheetFormatPr defaultColWidth="9.140625" defaultRowHeight="15"/>
  <cols>
    <col min="1" max="2" width="9.140625" style="271"/>
    <col min="3" max="3" width="29.5703125" style="271" customWidth="1"/>
    <col min="4" max="4" width="12" style="271" customWidth="1"/>
    <col min="5" max="5" width="5" style="271" customWidth="1"/>
    <col min="6" max="10" width="9.140625" style="271"/>
    <col min="11" max="11" width="24.5703125" style="271" customWidth="1"/>
    <col min="12" max="12" width="13.5703125" style="271" customWidth="1"/>
    <col min="13" max="14" width="9.140625" style="271"/>
    <col min="15" max="15" width="20.42578125" style="271" customWidth="1"/>
    <col min="16" max="16384" width="9.140625" style="271"/>
  </cols>
  <sheetData>
    <row r="1" spans="1:13" ht="34.700000000000003" customHeight="1">
      <c r="A1" s="1112" t="s">
        <v>334</v>
      </c>
      <c r="B1" s="1112"/>
      <c r="C1" s="1112"/>
      <c r="D1" s="1112"/>
      <c r="E1" s="1112"/>
      <c r="F1" s="1112"/>
      <c r="G1" s="1112"/>
      <c r="H1" s="1112"/>
      <c r="I1" s="1112"/>
      <c r="J1" s="1112"/>
      <c r="K1" s="1112"/>
      <c r="L1" s="1112"/>
      <c r="M1" s="1112"/>
    </row>
    <row r="2" spans="1:13" ht="24.75" customHeight="1">
      <c r="C2" s="342" t="s">
        <v>416</v>
      </c>
      <c r="D2" s="340">
        <v>42155</v>
      </c>
      <c r="F2" s="1113" t="s">
        <v>5</v>
      </c>
      <c r="G2" s="1113"/>
      <c r="H2" s="1113"/>
      <c r="I2" s="1113"/>
      <c r="J2" s="344"/>
      <c r="K2" s="344"/>
      <c r="L2" s="344"/>
    </row>
    <row r="3" spans="1:13" ht="20.85" customHeight="1">
      <c r="C3" s="342" t="s">
        <v>417</v>
      </c>
      <c r="D3" s="345">
        <f ca="1">TODAY()</f>
        <v>43679</v>
      </c>
      <c r="F3" s="1110" t="s">
        <v>9</v>
      </c>
      <c r="G3" s="1111"/>
      <c r="H3" s="1111"/>
      <c r="I3" s="1111"/>
      <c r="J3" s="344"/>
      <c r="K3" s="344"/>
      <c r="L3" s="344"/>
    </row>
    <row r="4" spans="1:13" ht="21.6" customHeight="1">
      <c r="C4" s="342"/>
      <c r="D4" s="341"/>
      <c r="F4" s="1110" t="s">
        <v>15</v>
      </c>
      <c r="G4" s="1111"/>
      <c r="H4" s="1111"/>
      <c r="I4" s="1111"/>
      <c r="J4" s="343"/>
      <c r="K4" s="343"/>
      <c r="L4" s="343"/>
    </row>
    <row r="5" spans="1:13" ht="18.75" customHeight="1">
      <c r="C5" s="346" t="s">
        <v>419</v>
      </c>
      <c r="D5" s="347">
        <f ca="1">D3-D2</f>
        <v>1524</v>
      </c>
      <c r="F5" s="1110" t="s">
        <v>633</v>
      </c>
      <c r="G5" s="1111"/>
      <c r="H5" s="1111"/>
      <c r="I5" s="1111"/>
      <c r="J5" s="343"/>
      <c r="K5" s="343"/>
      <c r="L5" s="343"/>
    </row>
    <row r="6" spans="1:13" ht="27.2" customHeight="1">
      <c r="C6" s="346" t="s">
        <v>418</v>
      </c>
      <c r="D6" s="347">
        <f ca="1">365-D5</f>
        <v>-1159</v>
      </c>
      <c r="F6" s="1110" t="s">
        <v>483</v>
      </c>
      <c r="G6" s="1111"/>
      <c r="H6" s="1111"/>
      <c r="I6" s="1111"/>
      <c r="J6" s="343"/>
      <c r="K6" s="343"/>
      <c r="L6" s="343"/>
    </row>
    <row r="7" spans="1:13" ht="15.75" customHeight="1">
      <c r="C7" s="346"/>
      <c r="D7" s="348"/>
      <c r="F7" s="1114" t="s">
        <v>423</v>
      </c>
      <c r="G7" s="1114"/>
      <c r="H7" s="1114"/>
      <c r="I7" s="1114"/>
      <c r="J7" s="1114"/>
      <c r="K7" s="1114"/>
      <c r="L7" s="343"/>
    </row>
    <row r="8" spans="1:13" ht="15.75">
      <c r="C8" s="346" t="s">
        <v>155</v>
      </c>
      <c r="D8" s="349">
        <v>8175</v>
      </c>
      <c r="F8" s="1114"/>
      <c r="G8" s="1114"/>
      <c r="H8" s="1114"/>
      <c r="I8" s="1114"/>
      <c r="J8" s="1114"/>
      <c r="K8" s="1114"/>
      <c r="L8" s="343"/>
    </row>
    <row r="9" spans="1:13" ht="15.75">
      <c r="C9" s="346" t="s">
        <v>12</v>
      </c>
      <c r="D9" s="350">
        <v>25</v>
      </c>
      <c r="F9" s="1114"/>
      <c r="G9" s="1114"/>
      <c r="H9" s="1114"/>
      <c r="I9" s="1114"/>
      <c r="J9" s="1114"/>
      <c r="K9" s="1114"/>
      <c r="L9" s="343"/>
    </row>
    <row r="10" spans="1:13" ht="15.75">
      <c r="C10" s="346"/>
      <c r="D10" s="348"/>
      <c r="F10" s="343"/>
      <c r="G10" s="343"/>
      <c r="H10" s="343"/>
      <c r="I10" s="343"/>
      <c r="J10" s="343"/>
      <c r="K10" s="343"/>
      <c r="L10" s="343"/>
    </row>
    <row r="11" spans="1:13" ht="15.75">
      <c r="C11" s="346" t="s">
        <v>420</v>
      </c>
      <c r="D11" s="347">
        <f ca="1">D8*(D9/(100-D9))*D6/365</f>
        <v>-8652.8082191780813</v>
      </c>
      <c r="F11" s="1115"/>
      <c r="G11" s="1115"/>
      <c r="H11" s="1115"/>
      <c r="I11" s="1115"/>
      <c r="J11" s="1115"/>
      <c r="K11" s="1115"/>
      <c r="L11" s="343"/>
    </row>
    <row r="12" spans="1:13" ht="15.75">
      <c r="C12" s="346" t="s">
        <v>421</v>
      </c>
      <c r="D12" s="351">
        <v>50</v>
      </c>
      <c r="F12" s="1115"/>
      <c r="G12" s="1115"/>
      <c r="H12" s="1115"/>
      <c r="I12" s="1115"/>
      <c r="J12" s="1115"/>
      <c r="K12" s="1115"/>
      <c r="L12" s="343"/>
    </row>
    <row r="13" spans="1:13" ht="15.75">
      <c r="C13" s="346" t="s">
        <v>34</v>
      </c>
      <c r="D13" s="347">
        <f ca="1">ROUNDUP((D12+D11)*'Motor Home Page'!N1%,0)</f>
        <v>-1549</v>
      </c>
      <c r="F13" s="1115"/>
      <c r="G13" s="1115"/>
      <c r="H13" s="1115"/>
      <c r="I13" s="1115"/>
      <c r="J13" s="1115"/>
      <c r="K13" s="1115"/>
      <c r="L13" s="343"/>
    </row>
    <row r="14" spans="1:13" ht="15.75">
      <c r="C14" s="346" t="s">
        <v>422</v>
      </c>
      <c r="D14" s="352">
        <f ca="1">ROUND((D13+D12+D11),0)</f>
        <v>-10152</v>
      </c>
      <c r="F14" s="1116"/>
      <c r="G14" s="1116"/>
      <c r="H14" s="1116"/>
      <c r="I14" s="1116"/>
      <c r="J14" s="1116"/>
      <c r="K14" s="1116"/>
      <c r="L14" s="343"/>
    </row>
  </sheetData>
  <sheetProtection password="F7EB" sheet="1" objects="1" scenarios="1" selectLockedCells="1"/>
  <mergeCells count="11">
    <mergeCell ref="F7:K9"/>
    <mergeCell ref="F13:K13"/>
    <mergeCell ref="F14:K14"/>
    <mergeCell ref="F11:K11"/>
    <mergeCell ref="F12:K12"/>
    <mergeCell ref="F5:I5"/>
    <mergeCell ref="F6:I6"/>
    <mergeCell ref="A1:M1"/>
    <mergeCell ref="F4:I4"/>
    <mergeCell ref="F2:I2"/>
    <mergeCell ref="F3:I3"/>
  </mergeCells>
  <hyperlinks>
    <hyperlink ref="F2" location="Motor Home Page!a1" display="Motor Home Page"/>
  </hyperlinks>
  <pageMargins left="0.7" right="0.7" top="0.75" bottom="0.75" header="0.51180555555555551" footer="0.51180555555555551"/>
  <pageSetup firstPageNumber="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H9" sqref="H9:I9"/>
    </sheetView>
  </sheetViews>
  <sheetFormatPr defaultColWidth="20" defaultRowHeight="16.7" customHeight="1"/>
  <cols>
    <col min="1" max="1" width="45.28515625" style="355" customWidth="1"/>
    <col min="2" max="2" width="9.5703125" style="355" customWidth="1"/>
    <col min="3" max="3" width="13.85546875" style="355" customWidth="1"/>
    <col min="4" max="4" width="13.42578125" style="355" customWidth="1"/>
    <col min="5" max="5" width="13.5703125" style="355" customWidth="1"/>
    <col min="6" max="6" width="9.7109375" style="355" customWidth="1"/>
    <col min="7" max="7" width="13.5703125" style="355" customWidth="1"/>
    <col min="8" max="8" width="8.7109375" style="355" customWidth="1"/>
    <col min="9" max="9" width="13.5703125" style="355" customWidth="1"/>
    <col min="10" max="10" width="20" style="355"/>
    <col min="11" max="11" width="15.5703125" style="355" customWidth="1"/>
    <col min="12" max="256" width="20" style="355"/>
    <col min="257" max="257" width="45.28515625" style="355" customWidth="1"/>
    <col min="258" max="258" width="9.5703125" style="355" customWidth="1"/>
    <col min="259" max="259" width="13.85546875" style="355" customWidth="1"/>
    <col min="260" max="260" width="13.42578125" style="355" customWidth="1"/>
    <col min="261" max="261" width="13.5703125" style="355" customWidth="1"/>
    <col min="262" max="262" width="9.7109375" style="355" customWidth="1"/>
    <col min="263" max="263" width="13.5703125" style="355" customWidth="1"/>
    <col min="264" max="264" width="8.7109375" style="355" customWidth="1"/>
    <col min="265" max="265" width="13.5703125" style="355" customWidth="1"/>
    <col min="266" max="266" width="20" style="355"/>
    <col min="267" max="267" width="15.5703125" style="355" customWidth="1"/>
    <col min="268" max="512" width="20" style="355"/>
    <col min="513" max="513" width="45.28515625" style="355" customWidth="1"/>
    <col min="514" max="514" width="9.5703125" style="355" customWidth="1"/>
    <col min="515" max="515" width="13.85546875" style="355" customWidth="1"/>
    <col min="516" max="516" width="13.42578125" style="355" customWidth="1"/>
    <col min="517" max="517" width="13.5703125" style="355" customWidth="1"/>
    <col min="518" max="518" width="9.7109375" style="355" customWidth="1"/>
    <col min="519" max="519" width="13.5703125" style="355" customWidth="1"/>
    <col min="520" max="520" width="8.7109375" style="355" customWidth="1"/>
    <col min="521" max="521" width="13.5703125" style="355" customWidth="1"/>
    <col min="522" max="522" width="20" style="355"/>
    <col min="523" max="523" width="15.5703125" style="355" customWidth="1"/>
    <col min="524" max="768" width="20" style="355"/>
    <col min="769" max="769" width="45.28515625" style="355" customWidth="1"/>
    <col min="770" max="770" width="9.5703125" style="355" customWidth="1"/>
    <col min="771" max="771" width="13.85546875" style="355" customWidth="1"/>
    <col min="772" max="772" width="13.42578125" style="355" customWidth="1"/>
    <col min="773" max="773" width="13.5703125" style="355" customWidth="1"/>
    <col min="774" max="774" width="9.7109375" style="355" customWidth="1"/>
    <col min="775" max="775" width="13.5703125" style="355" customWidth="1"/>
    <col min="776" max="776" width="8.7109375" style="355" customWidth="1"/>
    <col min="777" max="777" width="13.5703125" style="355" customWidth="1"/>
    <col min="778" max="778" width="20" style="355"/>
    <col min="779" max="779" width="15.5703125" style="355" customWidth="1"/>
    <col min="780" max="1024" width="20" style="355"/>
    <col min="1025" max="1025" width="45.28515625" style="355" customWidth="1"/>
    <col min="1026" max="1026" width="9.5703125" style="355" customWidth="1"/>
    <col min="1027" max="1027" width="13.85546875" style="355" customWidth="1"/>
    <col min="1028" max="1028" width="13.42578125" style="355" customWidth="1"/>
    <col min="1029" max="1029" width="13.5703125" style="355" customWidth="1"/>
    <col min="1030" max="1030" width="9.7109375" style="355" customWidth="1"/>
    <col min="1031" max="1031" width="13.5703125" style="355" customWidth="1"/>
    <col min="1032" max="1032" width="8.7109375" style="355" customWidth="1"/>
    <col min="1033" max="1033" width="13.5703125" style="355" customWidth="1"/>
    <col min="1034" max="1034" width="20" style="355"/>
    <col min="1035" max="1035" width="15.5703125" style="355" customWidth="1"/>
    <col min="1036" max="1280" width="20" style="355"/>
    <col min="1281" max="1281" width="45.28515625" style="355" customWidth="1"/>
    <col min="1282" max="1282" width="9.5703125" style="355" customWidth="1"/>
    <col min="1283" max="1283" width="13.85546875" style="355" customWidth="1"/>
    <col min="1284" max="1284" width="13.42578125" style="355" customWidth="1"/>
    <col min="1285" max="1285" width="13.5703125" style="355" customWidth="1"/>
    <col min="1286" max="1286" width="9.7109375" style="355" customWidth="1"/>
    <col min="1287" max="1287" width="13.5703125" style="355" customWidth="1"/>
    <col min="1288" max="1288" width="8.7109375" style="355" customWidth="1"/>
    <col min="1289" max="1289" width="13.5703125" style="355" customWidth="1"/>
    <col min="1290" max="1290" width="20" style="355"/>
    <col min="1291" max="1291" width="15.5703125" style="355" customWidth="1"/>
    <col min="1292" max="1536" width="20" style="355"/>
    <col min="1537" max="1537" width="45.28515625" style="355" customWidth="1"/>
    <col min="1538" max="1538" width="9.5703125" style="355" customWidth="1"/>
    <col min="1539" max="1539" width="13.85546875" style="355" customWidth="1"/>
    <col min="1540" max="1540" width="13.42578125" style="355" customWidth="1"/>
    <col min="1541" max="1541" width="13.5703125" style="355" customWidth="1"/>
    <col min="1542" max="1542" width="9.7109375" style="355" customWidth="1"/>
    <col min="1543" max="1543" width="13.5703125" style="355" customWidth="1"/>
    <col min="1544" max="1544" width="8.7109375" style="355" customWidth="1"/>
    <col min="1545" max="1545" width="13.5703125" style="355" customWidth="1"/>
    <col min="1546" max="1546" width="20" style="355"/>
    <col min="1547" max="1547" width="15.5703125" style="355" customWidth="1"/>
    <col min="1548" max="1792" width="20" style="355"/>
    <col min="1793" max="1793" width="45.28515625" style="355" customWidth="1"/>
    <col min="1794" max="1794" width="9.5703125" style="355" customWidth="1"/>
    <col min="1795" max="1795" width="13.85546875" style="355" customWidth="1"/>
    <col min="1796" max="1796" width="13.42578125" style="355" customWidth="1"/>
    <col min="1797" max="1797" width="13.5703125" style="355" customWidth="1"/>
    <col min="1798" max="1798" width="9.7109375" style="355" customWidth="1"/>
    <col min="1799" max="1799" width="13.5703125" style="355" customWidth="1"/>
    <col min="1800" max="1800" width="8.7109375" style="355" customWidth="1"/>
    <col min="1801" max="1801" width="13.5703125" style="355" customWidth="1"/>
    <col min="1802" max="1802" width="20" style="355"/>
    <col min="1803" max="1803" width="15.5703125" style="355" customWidth="1"/>
    <col min="1804" max="2048" width="20" style="355"/>
    <col min="2049" max="2049" width="45.28515625" style="355" customWidth="1"/>
    <col min="2050" max="2050" width="9.5703125" style="355" customWidth="1"/>
    <col min="2051" max="2051" width="13.85546875" style="355" customWidth="1"/>
    <col min="2052" max="2052" width="13.42578125" style="355" customWidth="1"/>
    <col min="2053" max="2053" width="13.5703125" style="355" customWidth="1"/>
    <col min="2054" max="2054" width="9.7109375" style="355" customWidth="1"/>
    <col min="2055" max="2055" width="13.5703125" style="355" customWidth="1"/>
    <col min="2056" max="2056" width="8.7109375" style="355" customWidth="1"/>
    <col min="2057" max="2057" width="13.5703125" style="355" customWidth="1"/>
    <col min="2058" max="2058" width="20" style="355"/>
    <col min="2059" max="2059" width="15.5703125" style="355" customWidth="1"/>
    <col min="2060" max="2304" width="20" style="355"/>
    <col min="2305" max="2305" width="45.28515625" style="355" customWidth="1"/>
    <col min="2306" max="2306" width="9.5703125" style="355" customWidth="1"/>
    <col min="2307" max="2307" width="13.85546875" style="355" customWidth="1"/>
    <col min="2308" max="2308" width="13.42578125" style="355" customWidth="1"/>
    <col min="2309" max="2309" width="13.5703125" style="355" customWidth="1"/>
    <col min="2310" max="2310" width="9.7109375" style="355" customWidth="1"/>
    <col min="2311" max="2311" width="13.5703125" style="355" customWidth="1"/>
    <col min="2312" max="2312" width="8.7109375" style="355" customWidth="1"/>
    <col min="2313" max="2313" width="13.5703125" style="355" customWidth="1"/>
    <col min="2314" max="2314" width="20" style="355"/>
    <col min="2315" max="2315" width="15.5703125" style="355" customWidth="1"/>
    <col min="2316" max="2560" width="20" style="355"/>
    <col min="2561" max="2561" width="45.28515625" style="355" customWidth="1"/>
    <col min="2562" max="2562" width="9.5703125" style="355" customWidth="1"/>
    <col min="2563" max="2563" width="13.85546875" style="355" customWidth="1"/>
    <col min="2564" max="2564" width="13.42578125" style="355" customWidth="1"/>
    <col min="2565" max="2565" width="13.5703125" style="355" customWidth="1"/>
    <col min="2566" max="2566" width="9.7109375" style="355" customWidth="1"/>
    <col min="2567" max="2567" width="13.5703125" style="355" customWidth="1"/>
    <col min="2568" max="2568" width="8.7109375" style="355" customWidth="1"/>
    <col min="2569" max="2569" width="13.5703125" style="355" customWidth="1"/>
    <col min="2570" max="2570" width="20" style="355"/>
    <col min="2571" max="2571" width="15.5703125" style="355" customWidth="1"/>
    <col min="2572" max="2816" width="20" style="355"/>
    <col min="2817" max="2817" width="45.28515625" style="355" customWidth="1"/>
    <col min="2818" max="2818" width="9.5703125" style="355" customWidth="1"/>
    <col min="2819" max="2819" width="13.85546875" style="355" customWidth="1"/>
    <col min="2820" max="2820" width="13.42578125" style="355" customWidth="1"/>
    <col min="2821" max="2821" width="13.5703125" style="355" customWidth="1"/>
    <col min="2822" max="2822" width="9.7109375" style="355" customWidth="1"/>
    <col min="2823" max="2823" width="13.5703125" style="355" customWidth="1"/>
    <col min="2824" max="2824" width="8.7109375" style="355" customWidth="1"/>
    <col min="2825" max="2825" width="13.5703125" style="355" customWidth="1"/>
    <col min="2826" max="2826" width="20" style="355"/>
    <col min="2827" max="2827" width="15.5703125" style="355" customWidth="1"/>
    <col min="2828" max="3072" width="20" style="355"/>
    <col min="3073" max="3073" width="45.28515625" style="355" customWidth="1"/>
    <col min="3074" max="3074" width="9.5703125" style="355" customWidth="1"/>
    <col min="3075" max="3075" width="13.85546875" style="355" customWidth="1"/>
    <col min="3076" max="3076" width="13.42578125" style="355" customWidth="1"/>
    <col min="3077" max="3077" width="13.5703125" style="355" customWidth="1"/>
    <col min="3078" max="3078" width="9.7109375" style="355" customWidth="1"/>
    <col min="3079" max="3079" width="13.5703125" style="355" customWidth="1"/>
    <col min="3080" max="3080" width="8.7109375" style="355" customWidth="1"/>
    <col min="3081" max="3081" width="13.5703125" style="355" customWidth="1"/>
    <col min="3082" max="3082" width="20" style="355"/>
    <col min="3083" max="3083" width="15.5703125" style="355" customWidth="1"/>
    <col min="3084" max="3328" width="20" style="355"/>
    <col min="3329" max="3329" width="45.28515625" style="355" customWidth="1"/>
    <col min="3330" max="3330" width="9.5703125" style="355" customWidth="1"/>
    <col min="3331" max="3331" width="13.85546875" style="355" customWidth="1"/>
    <col min="3332" max="3332" width="13.42578125" style="355" customWidth="1"/>
    <col min="3333" max="3333" width="13.5703125" style="355" customWidth="1"/>
    <col min="3334" max="3334" width="9.7109375" style="355" customWidth="1"/>
    <col min="3335" max="3335" width="13.5703125" style="355" customWidth="1"/>
    <col min="3336" max="3336" width="8.7109375" style="355" customWidth="1"/>
    <col min="3337" max="3337" width="13.5703125" style="355" customWidth="1"/>
    <col min="3338" max="3338" width="20" style="355"/>
    <col min="3339" max="3339" width="15.5703125" style="355" customWidth="1"/>
    <col min="3340" max="3584" width="20" style="355"/>
    <col min="3585" max="3585" width="45.28515625" style="355" customWidth="1"/>
    <col min="3586" max="3586" width="9.5703125" style="355" customWidth="1"/>
    <col min="3587" max="3587" width="13.85546875" style="355" customWidth="1"/>
    <col min="3588" max="3588" width="13.42578125" style="355" customWidth="1"/>
    <col min="3589" max="3589" width="13.5703125" style="355" customWidth="1"/>
    <col min="3590" max="3590" width="9.7109375" style="355" customWidth="1"/>
    <col min="3591" max="3591" width="13.5703125" style="355" customWidth="1"/>
    <col min="3592" max="3592" width="8.7109375" style="355" customWidth="1"/>
    <col min="3593" max="3593" width="13.5703125" style="355" customWidth="1"/>
    <col min="3594" max="3594" width="20" style="355"/>
    <col min="3595" max="3595" width="15.5703125" style="355" customWidth="1"/>
    <col min="3596" max="3840" width="20" style="355"/>
    <col min="3841" max="3841" width="45.28515625" style="355" customWidth="1"/>
    <col min="3842" max="3842" width="9.5703125" style="355" customWidth="1"/>
    <col min="3843" max="3843" width="13.85546875" style="355" customWidth="1"/>
    <col min="3844" max="3844" width="13.42578125" style="355" customWidth="1"/>
    <col min="3845" max="3845" width="13.5703125" style="355" customWidth="1"/>
    <col min="3846" max="3846" width="9.7109375" style="355" customWidth="1"/>
    <col min="3847" max="3847" width="13.5703125" style="355" customWidth="1"/>
    <col min="3848" max="3848" width="8.7109375" style="355" customWidth="1"/>
    <col min="3849" max="3849" width="13.5703125" style="355" customWidth="1"/>
    <col min="3850" max="3850" width="20" style="355"/>
    <col min="3851" max="3851" width="15.5703125" style="355" customWidth="1"/>
    <col min="3852" max="4096" width="20" style="355"/>
    <col min="4097" max="4097" width="45.28515625" style="355" customWidth="1"/>
    <col min="4098" max="4098" width="9.5703125" style="355" customWidth="1"/>
    <col min="4099" max="4099" width="13.85546875" style="355" customWidth="1"/>
    <col min="4100" max="4100" width="13.42578125" style="355" customWidth="1"/>
    <col min="4101" max="4101" width="13.5703125" style="355" customWidth="1"/>
    <col min="4102" max="4102" width="9.7109375" style="355" customWidth="1"/>
    <col min="4103" max="4103" width="13.5703125" style="355" customWidth="1"/>
    <col min="4104" max="4104" width="8.7109375" style="355" customWidth="1"/>
    <col min="4105" max="4105" width="13.5703125" style="355" customWidth="1"/>
    <col min="4106" max="4106" width="20" style="355"/>
    <col min="4107" max="4107" width="15.5703125" style="355" customWidth="1"/>
    <col min="4108" max="4352" width="20" style="355"/>
    <col min="4353" max="4353" width="45.28515625" style="355" customWidth="1"/>
    <col min="4354" max="4354" width="9.5703125" style="355" customWidth="1"/>
    <col min="4355" max="4355" width="13.85546875" style="355" customWidth="1"/>
    <col min="4356" max="4356" width="13.42578125" style="355" customWidth="1"/>
    <col min="4357" max="4357" width="13.5703125" style="355" customWidth="1"/>
    <col min="4358" max="4358" width="9.7109375" style="355" customWidth="1"/>
    <col min="4359" max="4359" width="13.5703125" style="355" customWidth="1"/>
    <col min="4360" max="4360" width="8.7109375" style="355" customWidth="1"/>
    <col min="4361" max="4361" width="13.5703125" style="355" customWidth="1"/>
    <col min="4362" max="4362" width="20" style="355"/>
    <col min="4363" max="4363" width="15.5703125" style="355" customWidth="1"/>
    <col min="4364" max="4608" width="20" style="355"/>
    <col min="4609" max="4609" width="45.28515625" style="355" customWidth="1"/>
    <col min="4610" max="4610" width="9.5703125" style="355" customWidth="1"/>
    <col min="4611" max="4611" width="13.85546875" style="355" customWidth="1"/>
    <col min="4612" max="4612" width="13.42578125" style="355" customWidth="1"/>
    <col min="4613" max="4613" width="13.5703125" style="355" customWidth="1"/>
    <col min="4614" max="4614" width="9.7109375" style="355" customWidth="1"/>
    <col min="4615" max="4615" width="13.5703125" style="355" customWidth="1"/>
    <col min="4616" max="4616" width="8.7109375" style="355" customWidth="1"/>
    <col min="4617" max="4617" width="13.5703125" style="355" customWidth="1"/>
    <col min="4618" max="4618" width="20" style="355"/>
    <col min="4619" max="4619" width="15.5703125" style="355" customWidth="1"/>
    <col min="4620" max="4864" width="20" style="355"/>
    <col min="4865" max="4865" width="45.28515625" style="355" customWidth="1"/>
    <col min="4866" max="4866" width="9.5703125" style="355" customWidth="1"/>
    <col min="4867" max="4867" width="13.85546875" style="355" customWidth="1"/>
    <col min="4868" max="4868" width="13.42578125" style="355" customWidth="1"/>
    <col min="4869" max="4869" width="13.5703125" style="355" customWidth="1"/>
    <col min="4870" max="4870" width="9.7109375" style="355" customWidth="1"/>
    <col min="4871" max="4871" width="13.5703125" style="355" customWidth="1"/>
    <col min="4872" max="4872" width="8.7109375" style="355" customWidth="1"/>
    <col min="4873" max="4873" width="13.5703125" style="355" customWidth="1"/>
    <col min="4874" max="4874" width="20" style="355"/>
    <col min="4875" max="4875" width="15.5703125" style="355" customWidth="1"/>
    <col min="4876" max="5120" width="20" style="355"/>
    <col min="5121" max="5121" width="45.28515625" style="355" customWidth="1"/>
    <col min="5122" max="5122" width="9.5703125" style="355" customWidth="1"/>
    <col min="5123" max="5123" width="13.85546875" style="355" customWidth="1"/>
    <col min="5124" max="5124" width="13.42578125" style="355" customWidth="1"/>
    <col min="5125" max="5125" width="13.5703125" style="355" customWidth="1"/>
    <col min="5126" max="5126" width="9.7109375" style="355" customWidth="1"/>
    <col min="5127" max="5127" width="13.5703125" style="355" customWidth="1"/>
    <col min="5128" max="5128" width="8.7109375" style="355" customWidth="1"/>
    <col min="5129" max="5129" width="13.5703125" style="355" customWidth="1"/>
    <col min="5130" max="5130" width="20" style="355"/>
    <col min="5131" max="5131" width="15.5703125" style="355" customWidth="1"/>
    <col min="5132" max="5376" width="20" style="355"/>
    <col min="5377" max="5377" width="45.28515625" style="355" customWidth="1"/>
    <col min="5378" max="5378" width="9.5703125" style="355" customWidth="1"/>
    <col min="5379" max="5379" width="13.85546875" style="355" customWidth="1"/>
    <col min="5380" max="5380" width="13.42578125" style="355" customWidth="1"/>
    <col min="5381" max="5381" width="13.5703125" style="355" customWidth="1"/>
    <col min="5382" max="5382" width="9.7109375" style="355" customWidth="1"/>
    <col min="5383" max="5383" width="13.5703125" style="355" customWidth="1"/>
    <col min="5384" max="5384" width="8.7109375" style="355" customWidth="1"/>
    <col min="5385" max="5385" width="13.5703125" style="355" customWidth="1"/>
    <col min="5386" max="5386" width="20" style="355"/>
    <col min="5387" max="5387" width="15.5703125" style="355" customWidth="1"/>
    <col min="5388" max="5632" width="20" style="355"/>
    <col min="5633" max="5633" width="45.28515625" style="355" customWidth="1"/>
    <col min="5634" max="5634" width="9.5703125" style="355" customWidth="1"/>
    <col min="5635" max="5635" width="13.85546875" style="355" customWidth="1"/>
    <col min="5636" max="5636" width="13.42578125" style="355" customWidth="1"/>
    <col min="5637" max="5637" width="13.5703125" style="355" customWidth="1"/>
    <col min="5638" max="5638" width="9.7109375" style="355" customWidth="1"/>
    <col min="5639" max="5639" width="13.5703125" style="355" customWidth="1"/>
    <col min="5640" max="5640" width="8.7109375" style="355" customWidth="1"/>
    <col min="5641" max="5641" width="13.5703125" style="355" customWidth="1"/>
    <col min="5642" max="5642" width="20" style="355"/>
    <col min="5643" max="5643" width="15.5703125" style="355" customWidth="1"/>
    <col min="5644" max="5888" width="20" style="355"/>
    <col min="5889" max="5889" width="45.28515625" style="355" customWidth="1"/>
    <col min="5890" max="5890" width="9.5703125" style="355" customWidth="1"/>
    <col min="5891" max="5891" width="13.85546875" style="355" customWidth="1"/>
    <col min="5892" max="5892" width="13.42578125" style="355" customWidth="1"/>
    <col min="5893" max="5893" width="13.5703125" style="355" customWidth="1"/>
    <col min="5894" max="5894" width="9.7109375" style="355" customWidth="1"/>
    <col min="5895" max="5895" width="13.5703125" style="355" customWidth="1"/>
    <col min="5896" max="5896" width="8.7109375" style="355" customWidth="1"/>
    <col min="5897" max="5897" width="13.5703125" style="355" customWidth="1"/>
    <col min="5898" max="5898" width="20" style="355"/>
    <col min="5899" max="5899" width="15.5703125" style="355" customWidth="1"/>
    <col min="5900" max="6144" width="20" style="355"/>
    <col min="6145" max="6145" width="45.28515625" style="355" customWidth="1"/>
    <col min="6146" max="6146" width="9.5703125" style="355" customWidth="1"/>
    <col min="6147" max="6147" width="13.85546875" style="355" customWidth="1"/>
    <col min="6148" max="6148" width="13.42578125" style="355" customWidth="1"/>
    <col min="6149" max="6149" width="13.5703125" style="355" customWidth="1"/>
    <col min="6150" max="6150" width="9.7109375" style="355" customWidth="1"/>
    <col min="6151" max="6151" width="13.5703125" style="355" customWidth="1"/>
    <col min="6152" max="6152" width="8.7109375" style="355" customWidth="1"/>
    <col min="6153" max="6153" width="13.5703125" style="355" customWidth="1"/>
    <col min="6154" max="6154" width="20" style="355"/>
    <col min="6155" max="6155" width="15.5703125" style="355" customWidth="1"/>
    <col min="6156" max="6400" width="20" style="355"/>
    <col min="6401" max="6401" width="45.28515625" style="355" customWidth="1"/>
    <col min="6402" max="6402" width="9.5703125" style="355" customWidth="1"/>
    <col min="6403" max="6403" width="13.85546875" style="355" customWidth="1"/>
    <col min="6404" max="6404" width="13.42578125" style="355" customWidth="1"/>
    <col min="6405" max="6405" width="13.5703125" style="355" customWidth="1"/>
    <col min="6406" max="6406" width="9.7109375" style="355" customWidth="1"/>
    <col min="6407" max="6407" width="13.5703125" style="355" customWidth="1"/>
    <col min="6408" max="6408" width="8.7109375" style="355" customWidth="1"/>
    <col min="6409" max="6409" width="13.5703125" style="355" customWidth="1"/>
    <col min="6410" max="6410" width="20" style="355"/>
    <col min="6411" max="6411" width="15.5703125" style="355" customWidth="1"/>
    <col min="6412" max="6656" width="20" style="355"/>
    <col min="6657" max="6657" width="45.28515625" style="355" customWidth="1"/>
    <col min="6658" max="6658" width="9.5703125" style="355" customWidth="1"/>
    <col min="6659" max="6659" width="13.85546875" style="355" customWidth="1"/>
    <col min="6660" max="6660" width="13.42578125" style="355" customWidth="1"/>
    <col min="6661" max="6661" width="13.5703125" style="355" customWidth="1"/>
    <col min="6662" max="6662" width="9.7109375" style="355" customWidth="1"/>
    <col min="6663" max="6663" width="13.5703125" style="355" customWidth="1"/>
    <col min="6664" max="6664" width="8.7109375" style="355" customWidth="1"/>
    <col min="6665" max="6665" width="13.5703125" style="355" customWidth="1"/>
    <col min="6666" max="6666" width="20" style="355"/>
    <col min="6667" max="6667" width="15.5703125" style="355" customWidth="1"/>
    <col min="6668" max="6912" width="20" style="355"/>
    <col min="6913" max="6913" width="45.28515625" style="355" customWidth="1"/>
    <col min="6914" max="6914" width="9.5703125" style="355" customWidth="1"/>
    <col min="6915" max="6915" width="13.85546875" style="355" customWidth="1"/>
    <col min="6916" max="6916" width="13.42578125" style="355" customWidth="1"/>
    <col min="6917" max="6917" width="13.5703125" style="355" customWidth="1"/>
    <col min="6918" max="6918" width="9.7109375" style="355" customWidth="1"/>
    <col min="6919" max="6919" width="13.5703125" style="355" customWidth="1"/>
    <col min="6920" max="6920" width="8.7109375" style="355" customWidth="1"/>
    <col min="6921" max="6921" width="13.5703125" style="355" customWidth="1"/>
    <col min="6922" max="6922" width="20" style="355"/>
    <col min="6923" max="6923" width="15.5703125" style="355" customWidth="1"/>
    <col min="6924" max="7168" width="20" style="355"/>
    <col min="7169" max="7169" width="45.28515625" style="355" customWidth="1"/>
    <col min="7170" max="7170" width="9.5703125" style="355" customWidth="1"/>
    <col min="7171" max="7171" width="13.85546875" style="355" customWidth="1"/>
    <col min="7172" max="7172" width="13.42578125" style="355" customWidth="1"/>
    <col min="7173" max="7173" width="13.5703125" style="355" customWidth="1"/>
    <col min="7174" max="7174" width="9.7109375" style="355" customWidth="1"/>
    <col min="7175" max="7175" width="13.5703125" style="355" customWidth="1"/>
    <col min="7176" max="7176" width="8.7109375" style="355" customWidth="1"/>
    <col min="7177" max="7177" width="13.5703125" style="355" customWidth="1"/>
    <col min="7178" max="7178" width="20" style="355"/>
    <col min="7179" max="7179" width="15.5703125" style="355" customWidth="1"/>
    <col min="7180" max="7424" width="20" style="355"/>
    <col min="7425" max="7425" width="45.28515625" style="355" customWidth="1"/>
    <col min="7426" max="7426" width="9.5703125" style="355" customWidth="1"/>
    <col min="7427" max="7427" width="13.85546875" style="355" customWidth="1"/>
    <col min="7428" max="7428" width="13.42578125" style="355" customWidth="1"/>
    <col min="7429" max="7429" width="13.5703125" style="355" customWidth="1"/>
    <col min="7430" max="7430" width="9.7109375" style="355" customWidth="1"/>
    <col min="7431" max="7431" width="13.5703125" style="355" customWidth="1"/>
    <col min="7432" max="7432" width="8.7109375" style="355" customWidth="1"/>
    <col min="7433" max="7433" width="13.5703125" style="355" customWidth="1"/>
    <col min="7434" max="7434" width="20" style="355"/>
    <col min="7435" max="7435" width="15.5703125" style="355" customWidth="1"/>
    <col min="7436" max="7680" width="20" style="355"/>
    <col min="7681" max="7681" width="45.28515625" style="355" customWidth="1"/>
    <col min="7682" max="7682" width="9.5703125" style="355" customWidth="1"/>
    <col min="7683" max="7683" width="13.85546875" style="355" customWidth="1"/>
    <col min="7684" max="7684" width="13.42578125" style="355" customWidth="1"/>
    <col min="7685" max="7685" width="13.5703125" style="355" customWidth="1"/>
    <col min="7686" max="7686" width="9.7109375" style="355" customWidth="1"/>
    <col min="7687" max="7687" width="13.5703125" style="355" customWidth="1"/>
    <col min="7688" max="7688" width="8.7109375" style="355" customWidth="1"/>
    <col min="7689" max="7689" width="13.5703125" style="355" customWidth="1"/>
    <col min="7690" max="7690" width="20" style="355"/>
    <col min="7691" max="7691" width="15.5703125" style="355" customWidth="1"/>
    <col min="7692" max="7936" width="20" style="355"/>
    <col min="7937" max="7937" width="45.28515625" style="355" customWidth="1"/>
    <col min="7938" max="7938" width="9.5703125" style="355" customWidth="1"/>
    <col min="7939" max="7939" width="13.85546875" style="355" customWidth="1"/>
    <col min="7940" max="7940" width="13.42578125" style="355" customWidth="1"/>
    <col min="7941" max="7941" width="13.5703125" style="355" customWidth="1"/>
    <col min="7942" max="7942" width="9.7109375" style="355" customWidth="1"/>
    <col min="7943" max="7943" width="13.5703125" style="355" customWidth="1"/>
    <col min="7944" max="7944" width="8.7109375" style="355" customWidth="1"/>
    <col min="7945" max="7945" width="13.5703125" style="355" customWidth="1"/>
    <col min="7946" max="7946" width="20" style="355"/>
    <col min="7947" max="7947" width="15.5703125" style="355" customWidth="1"/>
    <col min="7948" max="8192" width="20" style="355"/>
    <col min="8193" max="8193" width="45.28515625" style="355" customWidth="1"/>
    <col min="8194" max="8194" width="9.5703125" style="355" customWidth="1"/>
    <col min="8195" max="8195" width="13.85546875" style="355" customWidth="1"/>
    <col min="8196" max="8196" width="13.42578125" style="355" customWidth="1"/>
    <col min="8197" max="8197" width="13.5703125" style="355" customWidth="1"/>
    <col min="8198" max="8198" width="9.7109375" style="355" customWidth="1"/>
    <col min="8199" max="8199" width="13.5703125" style="355" customWidth="1"/>
    <col min="8200" max="8200" width="8.7109375" style="355" customWidth="1"/>
    <col min="8201" max="8201" width="13.5703125" style="355" customWidth="1"/>
    <col min="8202" max="8202" width="20" style="355"/>
    <col min="8203" max="8203" width="15.5703125" style="355" customWidth="1"/>
    <col min="8204" max="8448" width="20" style="355"/>
    <col min="8449" max="8449" width="45.28515625" style="355" customWidth="1"/>
    <col min="8450" max="8450" width="9.5703125" style="355" customWidth="1"/>
    <col min="8451" max="8451" width="13.85546875" style="355" customWidth="1"/>
    <col min="8452" max="8452" width="13.42578125" style="355" customWidth="1"/>
    <col min="8453" max="8453" width="13.5703125" style="355" customWidth="1"/>
    <col min="8454" max="8454" width="9.7109375" style="355" customWidth="1"/>
    <col min="8455" max="8455" width="13.5703125" style="355" customWidth="1"/>
    <col min="8456" max="8456" width="8.7109375" style="355" customWidth="1"/>
    <col min="8457" max="8457" width="13.5703125" style="355" customWidth="1"/>
    <col min="8458" max="8458" width="20" style="355"/>
    <col min="8459" max="8459" width="15.5703125" style="355" customWidth="1"/>
    <col min="8460" max="8704" width="20" style="355"/>
    <col min="8705" max="8705" width="45.28515625" style="355" customWidth="1"/>
    <col min="8706" max="8706" width="9.5703125" style="355" customWidth="1"/>
    <col min="8707" max="8707" width="13.85546875" style="355" customWidth="1"/>
    <col min="8708" max="8708" width="13.42578125" style="355" customWidth="1"/>
    <col min="8709" max="8709" width="13.5703125" style="355" customWidth="1"/>
    <col min="8710" max="8710" width="9.7109375" style="355" customWidth="1"/>
    <col min="8711" max="8711" width="13.5703125" style="355" customWidth="1"/>
    <col min="8712" max="8712" width="8.7109375" style="355" customWidth="1"/>
    <col min="8713" max="8713" width="13.5703125" style="355" customWidth="1"/>
    <col min="8714" max="8714" width="20" style="355"/>
    <col min="8715" max="8715" width="15.5703125" style="355" customWidth="1"/>
    <col min="8716" max="8960" width="20" style="355"/>
    <col min="8961" max="8961" width="45.28515625" style="355" customWidth="1"/>
    <col min="8962" max="8962" width="9.5703125" style="355" customWidth="1"/>
    <col min="8963" max="8963" width="13.85546875" style="355" customWidth="1"/>
    <col min="8964" max="8964" width="13.42578125" style="355" customWidth="1"/>
    <col min="8965" max="8965" width="13.5703125" style="355" customWidth="1"/>
    <col min="8966" max="8966" width="9.7109375" style="355" customWidth="1"/>
    <col min="8967" max="8967" width="13.5703125" style="355" customWidth="1"/>
    <col min="8968" max="8968" width="8.7109375" style="355" customWidth="1"/>
    <col min="8969" max="8969" width="13.5703125" style="355" customWidth="1"/>
    <col min="8970" max="8970" width="20" style="355"/>
    <col min="8971" max="8971" width="15.5703125" style="355" customWidth="1"/>
    <col min="8972" max="9216" width="20" style="355"/>
    <col min="9217" max="9217" width="45.28515625" style="355" customWidth="1"/>
    <col min="9218" max="9218" width="9.5703125" style="355" customWidth="1"/>
    <col min="9219" max="9219" width="13.85546875" style="355" customWidth="1"/>
    <col min="9220" max="9220" width="13.42578125" style="355" customWidth="1"/>
    <col min="9221" max="9221" width="13.5703125" style="355" customWidth="1"/>
    <col min="9222" max="9222" width="9.7109375" style="355" customWidth="1"/>
    <col min="9223" max="9223" width="13.5703125" style="355" customWidth="1"/>
    <col min="9224" max="9224" width="8.7109375" style="355" customWidth="1"/>
    <col min="9225" max="9225" width="13.5703125" style="355" customWidth="1"/>
    <col min="9226" max="9226" width="20" style="355"/>
    <col min="9227" max="9227" width="15.5703125" style="355" customWidth="1"/>
    <col min="9228" max="9472" width="20" style="355"/>
    <col min="9473" max="9473" width="45.28515625" style="355" customWidth="1"/>
    <col min="9474" max="9474" width="9.5703125" style="355" customWidth="1"/>
    <col min="9475" max="9475" width="13.85546875" style="355" customWidth="1"/>
    <col min="9476" max="9476" width="13.42578125" style="355" customWidth="1"/>
    <col min="9477" max="9477" width="13.5703125" style="355" customWidth="1"/>
    <col min="9478" max="9478" width="9.7109375" style="355" customWidth="1"/>
    <col min="9479" max="9479" width="13.5703125" style="355" customWidth="1"/>
    <col min="9480" max="9480" width="8.7109375" style="355" customWidth="1"/>
    <col min="9481" max="9481" width="13.5703125" style="355" customWidth="1"/>
    <col min="9482" max="9482" width="20" style="355"/>
    <col min="9483" max="9483" width="15.5703125" style="355" customWidth="1"/>
    <col min="9484" max="9728" width="20" style="355"/>
    <col min="9729" max="9729" width="45.28515625" style="355" customWidth="1"/>
    <col min="9730" max="9730" width="9.5703125" style="355" customWidth="1"/>
    <col min="9731" max="9731" width="13.85546875" style="355" customWidth="1"/>
    <col min="9732" max="9732" width="13.42578125" style="355" customWidth="1"/>
    <col min="9733" max="9733" width="13.5703125" style="355" customWidth="1"/>
    <col min="9734" max="9734" width="9.7109375" style="355" customWidth="1"/>
    <col min="9735" max="9735" width="13.5703125" style="355" customWidth="1"/>
    <col min="9736" max="9736" width="8.7109375" style="355" customWidth="1"/>
    <col min="9737" max="9737" width="13.5703125" style="355" customWidth="1"/>
    <col min="9738" max="9738" width="20" style="355"/>
    <col min="9739" max="9739" width="15.5703125" style="355" customWidth="1"/>
    <col min="9740" max="9984" width="20" style="355"/>
    <col min="9985" max="9985" width="45.28515625" style="355" customWidth="1"/>
    <col min="9986" max="9986" width="9.5703125" style="355" customWidth="1"/>
    <col min="9987" max="9987" width="13.85546875" style="355" customWidth="1"/>
    <col min="9988" max="9988" width="13.42578125" style="355" customWidth="1"/>
    <col min="9989" max="9989" width="13.5703125" style="355" customWidth="1"/>
    <col min="9990" max="9990" width="9.7109375" style="355" customWidth="1"/>
    <col min="9991" max="9991" width="13.5703125" style="355" customWidth="1"/>
    <col min="9992" max="9992" width="8.7109375" style="355" customWidth="1"/>
    <col min="9993" max="9993" width="13.5703125" style="355" customWidth="1"/>
    <col min="9994" max="9994" width="20" style="355"/>
    <col min="9995" max="9995" width="15.5703125" style="355" customWidth="1"/>
    <col min="9996" max="10240" width="20" style="355"/>
    <col min="10241" max="10241" width="45.28515625" style="355" customWidth="1"/>
    <col min="10242" max="10242" width="9.5703125" style="355" customWidth="1"/>
    <col min="10243" max="10243" width="13.85546875" style="355" customWidth="1"/>
    <col min="10244" max="10244" width="13.42578125" style="355" customWidth="1"/>
    <col min="10245" max="10245" width="13.5703125" style="355" customWidth="1"/>
    <col min="10246" max="10246" width="9.7109375" style="355" customWidth="1"/>
    <col min="10247" max="10247" width="13.5703125" style="355" customWidth="1"/>
    <col min="10248" max="10248" width="8.7109375" style="355" customWidth="1"/>
    <col min="10249" max="10249" width="13.5703125" style="355" customWidth="1"/>
    <col min="10250" max="10250" width="20" style="355"/>
    <col min="10251" max="10251" width="15.5703125" style="355" customWidth="1"/>
    <col min="10252" max="10496" width="20" style="355"/>
    <col min="10497" max="10497" width="45.28515625" style="355" customWidth="1"/>
    <col min="10498" max="10498" width="9.5703125" style="355" customWidth="1"/>
    <col min="10499" max="10499" width="13.85546875" style="355" customWidth="1"/>
    <col min="10500" max="10500" width="13.42578125" style="355" customWidth="1"/>
    <col min="10501" max="10501" width="13.5703125" style="355" customWidth="1"/>
    <col min="10502" max="10502" width="9.7109375" style="355" customWidth="1"/>
    <col min="10503" max="10503" width="13.5703125" style="355" customWidth="1"/>
    <col min="10504" max="10504" width="8.7109375" style="355" customWidth="1"/>
    <col min="10505" max="10505" width="13.5703125" style="355" customWidth="1"/>
    <col min="10506" max="10506" width="20" style="355"/>
    <col min="10507" max="10507" width="15.5703125" style="355" customWidth="1"/>
    <col min="10508" max="10752" width="20" style="355"/>
    <col min="10753" max="10753" width="45.28515625" style="355" customWidth="1"/>
    <col min="10754" max="10754" width="9.5703125" style="355" customWidth="1"/>
    <col min="10755" max="10755" width="13.85546875" style="355" customWidth="1"/>
    <col min="10756" max="10756" width="13.42578125" style="355" customWidth="1"/>
    <col min="10757" max="10757" width="13.5703125" style="355" customWidth="1"/>
    <col min="10758" max="10758" width="9.7109375" style="355" customWidth="1"/>
    <col min="10759" max="10759" width="13.5703125" style="355" customWidth="1"/>
    <col min="10760" max="10760" width="8.7109375" style="355" customWidth="1"/>
    <col min="10761" max="10761" width="13.5703125" style="355" customWidth="1"/>
    <col min="10762" max="10762" width="20" style="355"/>
    <col min="10763" max="10763" width="15.5703125" style="355" customWidth="1"/>
    <col min="10764" max="11008" width="20" style="355"/>
    <col min="11009" max="11009" width="45.28515625" style="355" customWidth="1"/>
    <col min="11010" max="11010" width="9.5703125" style="355" customWidth="1"/>
    <col min="11011" max="11011" width="13.85546875" style="355" customWidth="1"/>
    <col min="11012" max="11012" width="13.42578125" style="355" customWidth="1"/>
    <col min="11013" max="11013" width="13.5703125" style="355" customWidth="1"/>
    <col min="11014" max="11014" width="9.7109375" style="355" customWidth="1"/>
    <col min="11015" max="11015" width="13.5703125" style="355" customWidth="1"/>
    <col min="11016" max="11016" width="8.7109375" style="355" customWidth="1"/>
    <col min="11017" max="11017" width="13.5703125" style="355" customWidth="1"/>
    <col min="11018" max="11018" width="20" style="355"/>
    <col min="11019" max="11019" width="15.5703125" style="355" customWidth="1"/>
    <col min="11020" max="11264" width="20" style="355"/>
    <col min="11265" max="11265" width="45.28515625" style="355" customWidth="1"/>
    <col min="11266" max="11266" width="9.5703125" style="355" customWidth="1"/>
    <col min="11267" max="11267" width="13.85546875" style="355" customWidth="1"/>
    <col min="11268" max="11268" width="13.42578125" style="355" customWidth="1"/>
    <col min="11269" max="11269" width="13.5703125" style="355" customWidth="1"/>
    <col min="11270" max="11270" width="9.7109375" style="355" customWidth="1"/>
    <col min="11271" max="11271" width="13.5703125" style="355" customWidth="1"/>
    <col min="11272" max="11272" width="8.7109375" style="355" customWidth="1"/>
    <col min="11273" max="11273" width="13.5703125" style="355" customWidth="1"/>
    <col min="11274" max="11274" width="20" style="355"/>
    <col min="11275" max="11275" width="15.5703125" style="355" customWidth="1"/>
    <col min="11276" max="11520" width="20" style="355"/>
    <col min="11521" max="11521" width="45.28515625" style="355" customWidth="1"/>
    <col min="11522" max="11522" width="9.5703125" style="355" customWidth="1"/>
    <col min="11523" max="11523" width="13.85546875" style="355" customWidth="1"/>
    <col min="11524" max="11524" width="13.42578125" style="355" customWidth="1"/>
    <col min="11525" max="11525" width="13.5703125" style="355" customWidth="1"/>
    <col min="11526" max="11526" width="9.7109375" style="355" customWidth="1"/>
    <col min="11527" max="11527" width="13.5703125" style="355" customWidth="1"/>
    <col min="11528" max="11528" width="8.7109375" style="355" customWidth="1"/>
    <col min="11529" max="11529" width="13.5703125" style="355" customWidth="1"/>
    <col min="11530" max="11530" width="20" style="355"/>
    <col min="11531" max="11531" width="15.5703125" style="355" customWidth="1"/>
    <col min="11532" max="11776" width="20" style="355"/>
    <col min="11777" max="11777" width="45.28515625" style="355" customWidth="1"/>
    <col min="11778" max="11778" width="9.5703125" style="355" customWidth="1"/>
    <col min="11779" max="11779" width="13.85546875" style="355" customWidth="1"/>
    <col min="11780" max="11780" width="13.42578125" style="355" customWidth="1"/>
    <col min="11781" max="11781" width="13.5703125" style="355" customWidth="1"/>
    <col min="11782" max="11782" width="9.7109375" style="355" customWidth="1"/>
    <col min="11783" max="11783" width="13.5703125" style="355" customWidth="1"/>
    <col min="11784" max="11784" width="8.7109375" style="355" customWidth="1"/>
    <col min="11785" max="11785" width="13.5703125" style="355" customWidth="1"/>
    <col min="11786" max="11786" width="20" style="355"/>
    <col min="11787" max="11787" width="15.5703125" style="355" customWidth="1"/>
    <col min="11788" max="12032" width="20" style="355"/>
    <col min="12033" max="12033" width="45.28515625" style="355" customWidth="1"/>
    <col min="12034" max="12034" width="9.5703125" style="355" customWidth="1"/>
    <col min="12035" max="12035" width="13.85546875" style="355" customWidth="1"/>
    <col min="12036" max="12036" width="13.42578125" style="355" customWidth="1"/>
    <col min="12037" max="12037" width="13.5703125" style="355" customWidth="1"/>
    <col min="12038" max="12038" width="9.7109375" style="355" customWidth="1"/>
    <col min="12039" max="12039" width="13.5703125" style="355" customWidth="1"/>
    <col min="12040" max="12040" width="8.7109375" style="355" customWidth="1"/>
    <col min="12041" max="12041" width="13.5703125" style="355" customWidth="1"/>
    <col min="12042" max="12042" width="20" style="355"/>
    <col min="12043" max="12043" width="15.5703125" style="355" customWidth="1"/>
    <col min="12044" max="12288" width="20" style="355"/>
    <col min="12289" max="12289" width="45.28515625" style="355" customWidth="1"/>
    <col min="12290" max="12290" width="9.5703125" style="355" customWidth="1"/>
    <col min="12291" max="12291" width="13.85546875" style="355" customWidth="1"/>
    <col min="12292" max="12292" width="13.42578125" style="355" customWidth="1"/>
    <col min="12293" max="12293" width="13.5703125" style="355" customWidth="1"/>
    <col min="12294" max="12294" width="9.7109375" style="355" customWidth="1"/>
    <col min="12295" max="12295" width="13.5703125" style="355" customWidth="1"/>
    <col min="12296" max="12296" width="8.7109375" style="355" customWidth="1"/>
    <col min="12297" max="12297" width="13.5703125" style="355" customWidth="1"/>
    <col min="12298" max="12298" width="20" style="355"/>
    <col min="12299" max="12299" width="15.5703125" style="355" customWidth="1"/>
    <col min="12300" max="12544" width="20" style="355"/>
    <col min="12545" max="12545" width="45.28515625" style="355" customWidth="1"/>
    <col min="12546" max="12546" width="9.5703125" style="355" customWidth="1"/>
    <col min="12547" max="12547" width="13.85546875" style="355" customWidth="1"/>
    <col min="12548" max="12548" width="13.42578125" style="355" customWidth="1"/>
    <col min="12549" max="12549" width="13.5703125" style="355" customWidth="1"/>
    <col min="12550" max="12550" width="9.7109375" style="355" customWidth="1"/>
    <col min="12551" max="12551" width="13.5703125" style="355" customWidth="1"/>
    <col min="12552" max="12552" width="8.7109375" style="355" customWidth="1"/>
    <col min="12553" max="12553" width="13.5703125" style="355" customWidth="1"/>
    <col min="12554" max="12554" width="20" style="355"/>
    <col min="12555" max="12555" width="15.5703125" style="355" customWidth="1"/>
    <col min="12556" max="12800" width="20" style="355"/>
    <col min="12801" max="12801" width="45.28515625" style="355" customWidth="1"/>
    <col min="12802" max="12802" width="9.5703125" style="355" customWidth="1"/>
    <col min="12803" max="12803" width="13.85546875" style="355" customWidth="1"/>
    <col min="12804" max="12804" width="13.42578125" style="355" customWidth="1"/>
    <col min="12805" max="12805" width="13.5703125" style="355" customWidth="1"/>
    <col min="12806" max="12806" width="9.7109375" style="355" customWidth="1"/>
    <col min="12807" max="12807" width="13.5703125" style="355" customWidth="1"/>
    <col min="12808" max="12808" width="8.7109375" style="355" customWidth="1"/>
    <col min="12809" max="12809" width="13.5703125" style="355" customWidth="1"/>
    <col min="12810" max="12810" width="20" style="355"/>
    <col min="12811" max="12811" width="15.5703125" style="355" customWidth="1"/>
    <col min="12812" max="13056" width="20" style="355"/>
    <col min="13057" max="13057" width="45.28515625" style="355" customWidth="1"/>
    <col min="13058" max="13058" width="9.5703125" style="355" customWidth="1"/>
    <col min="13059" max="13059" width="13.85546875" style="355" customWidth="1"/>
    <col min="13060" max="13060" width="13.42578125" style="355" customWidth="1"/>
    <col min="13061" max="13061" width="13.5703125" style="355" customWidth="1"/>
    <col min="13062" max="13062" width="9.7109375" style="355" customWidth="1"/>
    <col min="13063" max="13063" width="13.5703125" style="355" customWidth="1"/>
    <col min="13064" max="13064" width="8.7109375" style="355" customWidth="1"/>
    <col min="13065" max="13065" width="13.5703125" style="355" customWidth="1"/>
    <col min="13066" max="13066" width="20" style="355"/>
    <col min="13067" max="13067" width="15.5703125" style="355" customWidth="1"/>
    <col min="13068" max="13312" width="20" style="355"/>
    <col min="13313" max="13313" width="45.28515625" style="355" customWidth="1"/>
    <col min="13314" max="13314" width="9.5703125" style="355" customWidth="1"/>
    <col min="13315" max="13315" width="13.85546875" style="355" customWidth="1"/>
    <col min="13316" max="13316" width="13.42578125" style="355" customWidth="1"/>
    <col min="13317" max="13317" width="13.5703125" style="355" customWidth="1"/>
    <col min="13318" max="13318" width="9.7109375" style="355" customWidth="1"/>
    <col min="13319" max="13319" width="13.5703125" style="355" customWidth="1"/>
    <col min="13320" max="13320" width="8.7109375" style="355" customWidth="1"/>
    <col min="13321" max="13321" width="13.5703125" style="355" customWidth="1"/>
    <col min="13322" max="13322" width="20" style="355"/>
    <col min="13323" max="13323" width="15.5703125" style="355" customWidth="1"/>
    <col min="13324" max="13568" width="20" style="355"/>
    <col min="13569" max="13569" width="45.28515625" style="355" customWidth="1"/>
    <col min="13570" max="13570" width="9.5703125" style="355" customWidth="1"/>
    <col min="13571" max="13571" width="13.85546875" style="355" customWidth="1"/>
    <col min="13572" max="13572" width="13.42578125" style="355" customWidth="1"/>
    <col min="13573" max="13573" width="13.5703125" style="355" customWidth="1"/>
    <col min="13574" max="13574" width="9.7109375" style="355" customWidth="1"/>
    <col min="13575" max="13575" width="13.5703125" style="355" customWidth="1"/>
    <col min="13576" max="13576" width="8.7109375" style="355" customWidth="1"/>
    <col min="13577" max="13577" width="13.5703125" style="355" customWidth="1"/>
    <col min="13578" max="13578" width="20" style="355"/>
    <col min="13579" max="13579" width="15.5703125" style="355" customWidth="1"/>
    <col min="13580" max="13824" width="20" style="355"/>
    <col min="13825" max="13825" width="45.28515625" style="355" customWidth="1"/>
    <col min="13826" max="13826" width="9.5703125" style="355" customWidth="1"/>
    <col min="13827" max="13827" width="13.85546875" style="355" customWidth="1"/>
    <col min="13828" max="13828" width="13.42578125" style="355" customWidth="1"/>
    <col min="13829" max="13829" width="13.5703125" style="355" customWidth="1"/>
    <col min="13830" max="13830" width="9.7109375" style="355" customWidth="1"/>
    <col min="13831" max="13831" width="13.5703125" style="355" customWidth="1"/>
    <col min="13832" max="13832" width="8.7109375" style="355" customWidth="1"/>
    <col min="13833" max="13833" width="13.5703125" style="355" customWidth="1"/>
    <col min="13834" max="13834" width="20" style="355"/>
    <col min="13835" max="13835" width="15.5703125" style="355" customWidth="1"/>
    <col min="13836" max="14080" width="20" style="355"/>
    <col min="14081" max="14081" width="45.28515625" style="355" customWidth="1"/>
    <col min="14082" max="14082" width="9.5703125" style="355" customWidth="1"/>
    <col min="14083" max="14083" width="13.85546875" style="355" customWidth="1"/>
    <col min="14084" max="14084" width="13.42578125" style="355" customWidth="1"/>
    <col min="14085" max="14085" width="13.5703125" style="355" customWidth="1"/>
    <col min="14086" max="14086" width="9.7109375" style="355" customWidth="1"/>
    <col min="14087" max="14087" width="13.5703125" style="355" customWidth="1"/>
    <col min="14088" max="14088" width="8.7109375" style="355" customWidth="1"/>
    <col min="14089" max="14089" width="13.5703125" style="355" customWidth="1"/>
    <col min="14090" max="14090" width="20" style="355"/>
    <col min="14091" max="14091" width="15.5703125" style="355" customWidth="1"/>
    <col min="14092" max="14336" width="20" style="355"/>
    <col min="14337" max="14337" width="45.28515625" style="355" customWidth="1"/>
    <col min="14338" max="14338" width="9.5703125" style="355" customWidth="1"/>
    <col min="14339" max="14339" width="13.85546875" style="355" customWidth="1"/>
    <col min="14340" max="14340" width="13.42578125" style="355" customWidth="1"/>
    <col min="14341" max="14341" width="13.5703125" style="355" customWidth="1"/>
    <col min="14342" max="14342" width="9.7109375" style="355" customWidth="1"/>
    <col min="14343" max="14343" width="13.5703125" style="355" customWidth="1"/>
    <col min="14344" max="14344" width="8.7109375" style="355" customWidth="1"/>
    <col min="14345" max="14345" width="13.5703125" style="355" customWidth="1"/>
    <col min="14346" max="14346" width="20" style="355"/>
    <col min="14347" max="14347" width="15.5703125" style="355" customWidth="1"/>
    <col min="14348" max="14592" width="20" style="355"/>
    <col min="14593" max="14593" width="45.28515625" style="355" customWidth="1"/>
    <col min="14594" max="14594" width="9.5703125" style="355" customWidth="1"/>
    <col min="14595" max="14595" width="13.85546875" style="355" customWidth="1"/>
    <col min="14596" max="14596" width="13.42578125" style="355" customWidth="1"/>
    <col min="14597" max="14597" width="13.5703125" style="355" customWidth="1"/>
    <col min="14598" max="14598" width="9.7109375" style="355" customWidth="1"/>
    <col min="14599" max="14599" width="13.5703125" style="355" customWidth="1"/>
    <col min="14600" max="14600" width="8.7109375" style="355" customWidth="1"/>
    <col min="14601" max="14601" width="13.5703125" style="355" customWidth="1"/>
    <col min="14602" max="14602" width="20" style="355"/>
    <col min="14603" max="14603" width="15.5703125" style="355" customWidth="1"/>
    <col min="14604" max="14848" width="20" style="355"/>
    <col min="14849" max="14849" width="45.28515625" style="355" customWidth="1"/>
    <col min="14850" max="14850" width="9.5703125" style="355" customWidth="1"/>
    <col min="14851" max="14851" width="13.85546875" style="355" customWidth="1"/>
    <col min="14852" max="14852" width="13.42578125" style="355" customWidth="1"/>
    <col min="14853" max="14853" width="13.5703125" style="355" customWidth="1"/>
    <col min="14854" max="14854" width="9.7109375" style="355" customWidth="1"/>
    <col min="14855" max="14855" width="13.5703125" style="355" customWidth="1"/>
    <col min="14856" max="14856" width="8.7109375" style="355" customWidth="1"/>
    <col min="14857" max="14857" width="13.5703125" style="355" customWidth="1"/>
    <col min="14858" max="14858" width="20" style="355"/>
    <col min="14859" max="14859" width="15.5703125" style="355" customWidth="1"/>
    <col min="14860" max="15104" width="20" style="355"/>
    <col min="15105" max="15105" width="45.28515625" style="355" customWidth="1"/>
    <col min="15106" max="15106" width="9.5703125" style="355" customWidth="1"/>
    <col min="15107" max="15107" width="13.85546875" style="355" customWidth="1"/>
    <col min="15108" max="15108" width="13.42578125" style="355" customWidth="1"/>
    <col min="15109" max="15109" width="13.5703125" style="355" customWidth="1"/>
    <col min="15110" max="15110" width="9.7109375" style="355" customWidth="1"/>
    <col min="15111" max="15111" width="13.5703125" style="355" customWidth="1"/>
    <col min="15112" max="15112" width="8.7109375" style="355" customWidth="1"/>
    <col min="15113" max="15113" width="13.5703125" style="355" customWidth="1"/>
    <col min="15114" max="15114" width="20" style="355"/>
    <col min="15115" max="15115" width="15.5703125" style="355" customWidth="1"/>
    <col min="15116" max="15360" width="20" style="355"/>
    <col min="15361" max="15361" width="45.28515625" style="355" customWidth="1"/>
    <col min="15362" max="15362" width="9.5703125" style="355" customWidth="1"/>
    <col min="15363" max="15363" width="13.85546875" style="355" customWidth="1"/>
    <col min="15364" max="15364" width="13.42578125" style="355" customWidth="1"/>
    <col min="15365" max="15365" width="13.5703125" style="355" customWidth="1"/>
    <col min="15366" max="15366" width="9.7109375" style="355" customWidth="1"/>
    <col min="15367" max="15367" width="13.5703125" style="355" customWidth="1"/>
    <col min="15368" max="15368" width="8.7109375" style="355" customWidth="1"/>
    <col min="15369" max="15369" width="13.5703125" style="355" customWidth="1"/>
    <col min="15370" max="15370" width="20" style="355"/>
    <col min="15371" max="15371" width="15.5703125" style="355" customWidth="1"/>
    <col min="15372" max="15616" width="20" style="355"/>
    <col min="15617" max="15617" width="45.28515625" style="355" customWidth="1"/>
    <col min="15618" max="15618" width="9.5703125" style="355" customWidth="1"/>
    <col min="15619" max="15619" width="13.85546875" style="355" customWidth="1"/>
    <col min="15620" max="15620" width="13.42578125" style="355" customWidth="1"/>
    <col min="15621" max="15621" width="13.5703125" style="355" customWidth="1"/>
    <col min="15622" max="15622" width="9.7109375" style="355" customWidth="1"/>
    <col min="15623" max="15623" width="13.5703125" style="355" customWidth="1"/>
    <col min="15624" max="15624" width="8.7109375" style="355" customWidth="1"/>
    <col min="15625" max="15625" width="13.5703125" style="355" customWidth="1"/>
    <col min="15626" max="15626" width="20" style="355"/>
    <col min="15627" max="15627" width="15.5703125" style="355" customWidth="1"/>
    <col min="15628" max="15872" width="20" style="355"/>
    <col min="15873" max="15873" width="45.28515625" style="355" customWidth="1"/>
    <col min="15874" max="15874" width="9.5703125" style="355" customWidth="1"/>
    <col min="15875" max="15875" width="13.85546875" style="355" customWidth="1"/>
    <col min="15876" max="15876" width="13.42578125" style="355" customWidth="1"/>
    <col min="15877" max="15877" width="13.5703125" style="355" customWidth="1"/>
    <col min="15878" max="15878" width="9.7109375" style="355" customWidth="1"/>
    <col min="15879" max="15879" width="13.5703125" style="355" customWidth="1"/>
    <col min="15880" max="15880" width="8.7109375" style="355" customWidth="1"/>
    <col min="15881" max="15881" width="13.5703125" style="355" customWidth="1"/>
    <col min="15882" max="15882" width="20" style="355"/>
    <col min="15883" max="15883" width="15.5703125" style="355" customWidth="1"/>
    <col min="15884" max="16128" width="20" style="355"/>
    <col min="16129" max="16129" width="45.28515625" style="355" customWidth="1"/>
    <col min="16130" max="16130" width="9.5703125" style="355" customWidth="1"/>
    <col min="16131" max="16131" width="13.85546875" style="355" customWidth="1"/>
    <col min="16132" max="16132" width="13.42578125" style="355" customWidth="1"/>
    <col min="16133" max="16133" width="13.5703125" style="355" customWidth="1"/>
    <col min="16134" max="16134" width="9.7109375" style="355" customWidth="1"/>
    <col min="16135" max="16135" width="13.5703125" style="355" customWidth="1"/>
    <col min="16136" max="16136" width="8.7109375" style="355" customWidth="1"/>
    <col min="16137" max="16137" width="13.5703125" style="355" customWidth="1"/>
    <col min="16138" max="16138" width="20" style="355"/>
    <col min="16139" max="16139" width="15.5703125" style="355" customWidth="1"/>
    <col min="16140" max="16384" width="20" style="355"/>
  </cols>
  <sheetData>
    <row r="1" spans="1:11" ht="25.35" customHeight="1" thickBot="1">
      <c r="A1" s="1123" t="s">
        <v>424</v>
      </c>
      <c r="B1" s="1123"/>
      <c r="C1" s="1123"/>
      <c r="D1" s="1123"/>
      <c r="E1" s="1123"/>
      <c r="F1" s="1123"/>
      <c r="G1" s="1123"/>
      <c r="H1" s="1123"/>
      <c r="I1" s="489"/>
      <c r="J1" s="1079" t="s">
        <v>5</v>
      </c>
      <c r="K1" s="1079"/>
    </row>
    <row r="2" spans="1:11" s="356" customFormat="1" ht="29.85" customHeight="1">
      <c r="A2" s="490" t="s">
        <v>425</v>
      </c>
      <c r="B2" s="1124" t="s">
        <v>426</v>
      </c>
      <c r="C2" s="1124"/>
      <c r="D2" s="1124" t="s">
        <v>427</v>
      </c>
      <c r="E2" s="1124"/>
      <c r="F2" s="1125" t="s">
        <v>428</v>
      </c>
      <c r="G2" s="1125"/>
      <c r="H2" s="1124" t="s">
        <v>429</v>
      </c>
      <c r="I2" s="1124"/>
      <c r="J2" s="1126" t="s">
        <v>430</v>
      </c>
      <c r="K2" s="1127"/>
    </row>
    <row r="3" spans="1:11" ht="20.85" customHeight="1">
      <c r="A3" s="1120" t="s">
        <v>431</v>
      </c>
      <c r="B3" s="1120"/>
      <c r="C3" s="1120"/>
      <c r="D3" s="1120"/>
      <c r="E3" s="1120"/>
      <c r="F3" s="489"/>
      <c r="G3" s="489"/>
      <c r="H3" s="489"/>
      <c r="I3" s="489"/>
      <c r="J3" s="1121" t="s">
        <v>15</v>
      </c>
      <c r="K3" s="1122"/>
    </row>
    <row r="4" spans="1:11" ht="23.85" customHeight="1">
      <c r="A4" s="489" t="s">
        <v>432</v>
      </c>
      <c r="B4" s="1117">
        <v>2055</v>
      </c>
      <c r="C4" s="1117"/>
      <c r="D4" s="1117">
        <v>2055</v>
      </c>
      <c r="E4" s="1117"/>
      <c r="F4" s="1118">
        <f t="shared" ref="F4:F7" si="0">D4-B4</f>
        <v>0</v>
      </c>
      <c r="G4" s="1118"/>
      <c r="H4" s="1119">
        <f>F4/B4*100</f>
        <v>0</v>
      </c>
      <c r="I4" s="1119"/>
      <c r="J4" s="1121" t="s">
        <v>482</v>
      </c>
      <c r="K4" s="1122"/>
    </row>
    <row r="5" spans="1:11" ht="20.25" customHeight="1">
      <c r="A5" s="489" t="s">
        <v>433</v>
      </c>
      <c r="B5" s="1117">
        <v>2237</v>
      </c>
      <c r="C5" s="1117"/>
      <c r="D5" s="1117">
        <v>3132</v>
      </c>
      <c r="E5" s="1117"/>
      <c r="F5" s="1118">
        <f t="shared" si="0"/>
        <v>895</v>
      </c>
      <c r="G5" s="1118"/>
      <c r="H5" s="1119">
        <f>F5/B5*100</f>
        <v>40.008940545373264</v>
      </c>
      <c r="I5" s="1119"/>
      <c r="J5" s="1121" t="s">
        <v>483</v>
      </c>
      <c r="K5" s="1122"/>
    </row>
    <row r="6" spans="1:11" ht="16.7" customHeight="1">
      <c r="A6" s="489" t="s">
        <v>434</v>
      </c>
      <c r="B6" s="1117">
        <v>6164</v>
      </c>
      <c r="C6" s="1117"/>
      <c r="D6" s="1117">
        <v>8630</v>
      </c>
      <c r="E6" s="1117"/>
      <c r="F6" s="1118">
        <f t="shared" si="0"/>
        <v>2466</v>
      </c>
      <c r="G6" s="1118"/>
      <c r="H6" s="1119">
        <f>F6/B6*100</f>
        <v>40.006489292667098</v>
      </c>
      <c r="I6" s="1119"/>
      <c r="J6" s="354"/>
      <c r="K6" s="354"/>
    </row>
    <row r="7" spans="1:11" ht="16.7" customHeight="1">
      <c r="A7" s="1120" t="s">
        <v>435</v>
      </c>
      <c r="B7" s="1120"/>
      <c r="C7" s="1120"/>
      <c r="D7" s="1120"/>
      <c r="E7" s="1120"/>
      <c r="F7" s="489">
        <f t="shared" si="0"/>
        <v>0</v>
      </c>
      <c r="G7" s="489"/>
      <c r="H7" s="489"/>
      <c r="I7" s="489"/>
    </row>
    <row r="8" spans="1:11" ht="16.7" customHeight="1">
      <c r="A8" s="489" t="s">
        <v>436</v>
      </c>
      <c r="B8" s="1117">
        <v>569</v>
      </c>
      <c r="C8" s="1117"/>
      <c r="D8" s="1117">
        <v>569</v>
      </c>
      <c r="E8" s="1117"/>
      <c r="F8" s="1118">
        <f>D8-B8</f>
        <v>0</v>
      </c>
      <c r="G8" s="1118"/>
      <c r="H8" s="1119">
        <f>F8/B8*100</f>
        <v>0</v>
      </c>
      <c r="I8" s="1119"/>
    </row>
    <row r="9" spans="1:11" ht="16.7" customHeight="1">
      <c r="A9" s="489" t="s">
        <v>437</v>
      </c>
      <c r="B9" s="1117">
        <v>619</v>
      </c>
      <c r="C9" s="1117"/>
      <c r="D9" s="1117">
        <v>720</v>
      </c>
      <c r="E9" s="1117"/>
      <c r="F9" s="1118">
        <f>D9-B9</f>
        <v>101</v>
      </c>
      <c r="G9" s="1118"/>
      <c r="H9" s="1119">
        <f>F9/B9*100</f>
        <v>16.316639741518578</v>
      </c>
      <c r="I9" s="1119"/>
    </row>
    <row r="10" spans="1:11" ht="16.7" customHeight="1">
      <c r="A10" s="489" t="s">
        <v>438</v>
      </c>
      <c r="B10" s="1117">
        <v>693</v>
      </c>
      <c r="C10" s="1117"/>
      <c r="D10" s="1117">
        <v>970</v>
      </c>
      <c r="E10" s="1117"/>
      <c r="F10" s="1118">
        <f>D10-B10</f>
        <v>277</v>
      </c>
      <c r="G10" s="1118"/>
      <c r="H10" s="1119">
        <f>F10/B10*100</f>
        <v>39.971139971139969</v>
      </c>
      <c r="I10" s="1119"/>
    </row>
    <row r="11" spans="1:11" ht="16.7" customHeight="1">
      <c r="A11" s="489" t="s">
        <v>439</v>
      </c>
      <c r="B11" s="1117">
        <v>796</v>
      </c>
      <c r="C11" s="1117"/>
      <c r="D11" s="1117">
        <v>1114</v>
      </c>
      <c r="E11" s="1117"/>
      <c r="F11" s="1118">
        <f>D11-B11</f>
        <v>318</v>
      </c>
      <c r="G11" s="1118"/>
      <c r="H11" s="1119">
        <f>F11/B11*100</f>
        <v>39.949748743718594</v>
      </c>
      <c r="I11" s="1119"/>
    </row>
    <row r="12" spans="1:11" ht="16.7" customHeight="1">
      <c r="A12" s="1120" t="s">
        <v>440</v>
      </c>
      <c r="B12" s="1120"/>
      <c r="C12" s="1120"/>
      <c r="D12" s="1120"/>
      <c r="E12" s="1120"/>
      <c r="F12" s="489"/>
      <c r="G12" s="489"/>
      <c r="H12" s="489"/>
      <c r="I12" s="489"/>
    </row>
    <row r="13" spans="1:11" ht="16.7" customHeight="1">
      <c r="A13" s="489" t="s">
        <v>441</v>
      </c>
      <c r="B13" s="1117">
        <v>14390</v>
      </c>
      <c r="C13" s="1117"/>
      <c r="D13" s="1117">
        <v>14390</v>
      </c>
      <c r="E13" s="1117"/>
      <c r="F13" s="1118">
        <f>D13-B13</f>
        <v>0</v>
      </c>
      <c r="G13" s="1118"/>
      <c r="H13" s="1119">
        <f>F13/B13*100</f>
        <v>0</v>
      </c>
      <c r="I13" s="1119"/>
    </row>
    <row r="14" spans="1:11" ht="16.7" customHeight="1">
      <c r="A14" s="489" t="s">
        <v>442</v>
      </c>
      <c r="B14" s="1117">
        <v>15365</v>
      </c>
      <c r="C14" s="1117"/>
      <c r="D14" s="1117">
        <v>21511</v>
      </c>
      <c r="E14" s="1117"/>
      <c r="F14" s="1118">
        <f>D14-B14</f>
        <v>6146</v>
      </c>
      <c r="G14" s="1118"/>
      <c r="H14" s="1119">
        <f>F14/B14*100</f>
        <v>40</v>
      </c>
      <c r="I14" s="1119"/>
    </row>
    <row r="15" spans="1:11" ht="16.7" customHeight="1">
      <c r="A15" s="489" t="s">
        <v>443</v>
      </c>
      <c r="B15" s="1117">
        <v>22577</v>
      </c>
      <c r="C15" s="1117"/>
      <c r="D15" s="1117">
        <v>31608</v>
      </c>
      <c r="E15" s="1117"/>
      <c r="F15" s="1118">
        <f>D15-B15</f>
        <v>9031</v>
      </c>
      <c r="G15" s="1118"/>
      <c r="H15" s="1119">
        <f>F15/B15*100</f>
        <v>40.000885857288395</v>
      </c>
      <c r="I15" s="1119"/>
    </row>
    <row r="16" spans="1:11" ht="16.7" customHeight="1">
      <c r="A16" s="489" t="s">
        <v>444</v>
      </c>
      <c r="B16" s="1117">
        <v>24708</v>
      </c>
      <c r="C16" s="1117"/>
      <c r="D16" s="1117">
        <v>34591</v>
      </c>
      <c r="E16" s="1117"/>
      <c r="F16" s="1118">
        <f>D16-B16</f>
        <v>9883</v>
      </c>
      <c r="G16" s="1118"/>
      <c r="H16" s="1119">
        <f>F16/B16*100</f>
        <v>39.999190545572283</v>
      </c>
      <c r="I16" s="1119"/>
    </row>
    <row r="17" spans="1:9" ht="16.7" customHeight="1">
      <c r="A17" s="489" t="s">
        <v>445</v>
      </c>
      <c r="B17" s="1117">
        <v>25800</v>
      </c>
      <c r="C17" s="1117"/>
      <c r="D17" s="1117">
        <v>36120</v>
      </c>
      <c r="E17" s="1117"/>
      <c r="F17" s="1118">
        <f>D17-B17</f>
        <v>10320</v>
      </c>
      <c r="G17" s="1118"/>
      <c r="H17" s="1119">
        <f>F17/B17*100</f>
        <v>40</v>
      </c>
      <c r="I17" s="1119"/>
    </row>
    <row r="18" spans="1:9" ht="16.7" customHeight="1">
      <c r="A18" s="1120" t="s">
        <v>446</v>
      </c>
      <c r="B18" s="1120"/>
      <c r="C18" s="1120"/>
      <c r="D18" s="1120"/>
      <c r="E18" s="1120"/>
      <c r="F18" s="489"/>
      <c r="G18" s="489"/>
      <c r="H18" s="489"/>
      <c r="I18" s="489"/>
    </row>
    <row r="19" spans="1:9" ht="16.7" customHeight="1">
      <c r="A19" s="489" t="s">
        <v>441</v>
      </c>
      <c r="B19" s="1117">
        <v>7849</v>
      </c>
      <c r="C19" s="1117"/>
      <c r="D19" s="1117">
        <v>7849</v>
      </c>
      <c r="E19" s="1117"/>
      <c r="F19" s="1118">
        <f>D19-B19</f>
        <v>0</v>
      </c>
      <c r="G19" s="1118"/>
      <c r="H19" s="1119">
        <f>F19/B19*100</f>
        <v>0</v>
      </c>
      <c r="I19" s="1119"/>
    </row>
    <row r="20" spans="1:9" ht="16.7" customHeight="1">
      <c r="A20" s="489" t="s">
        <v>442</v>
      </c>
      <c r="B20" s="1117">
        <v>11528</v>
      </c>
      <c r="C20" s="1117"/>
      <c r="D20" s="1117">
        <v>14330</v>
      </c>
      <c r="E20" s="1117"/>
      <c r="F20" s="1118">
        <f>D20-B20</f>
        <v>2802</v>
      </c>
      <c r="G20" s="1118"/>
      <c r="H20" s="1119">
        <f>F20/B20*100</f>
        <v>24.306037473976406</v>
      </c>
      <c r="I20" s="1119"/>
    </row>
    <row r="21" spans="1:9" ht="16.7" customHeight="1">
      <c r="A21" s="489" t="s">
        <v>443</v>
      </c>
      <c r="B21" s="1117">
        <v>9390</v>
      </c>
      <c r="C21" s="1117"/>
      <c r="D21" s="1117">
        <v>9871</v>
      </c>
      <c r="E21" s="1117"/>
      <c r="F21" s="1118">
        <f>D21-B21</f>
        <v>481</v>
      </c>
      <c r="G21" s="1118"/>
      <c r="H21" s="1119">
        <f>F21/B21*100</f>
        <v>5.1224707135250265</v>
      </c>
      <c r="I21" s="1119"/>
    </row>
    <row r="22" spans="1:9" ht="16.7" customHeight="1">
      <c r="A22" s="489" t="s">
        <v>444</v>
      </c>
      <c r="B22" s="1117">
        <v>12821</v>
      </c>
      <c r="C22" s="1117"/>
      <c r="D22" s="1117">
        <v>14805</v>
      </c>
      <c r="E22" s="1117"/>
      <c r="F22" s="1118">
        <f>D22-B22</f>
        <v>1984</v>
      </c>
      <c r="G22" s="1118"/>
      <c r="H22" s="1119">
        <f>F22/B22*100</f>
        <v>15.474611964745339</v>
      </c>
      <c r="I22" s="1119"/>
    </row>
    <row r="23" spans="1:9" ht="16.7" customHeight="1">
      <c r="A23" s="489" t="s">
        <v>445</v>
      </c>
      <c r="B23" s="1117">
        <v>16655</v>
      </c>
      <c r="C23" s="1117"/>
      <c r="D23" s="1117">
        <v>23317</v>
      </c>
      <c r="E23" s="1117"/>
      <c r="F23" s="1118">
        <f>D23-B23</f>
        <v>6662</v>
      </c>
      <c r="G23" s="1118"/>
      <c r="H23" s="1119">
        <f>F23/B23*100</f>
        <v>40</v>
      </c>
      <c r="I23" s="1119"/>
    </row>
    <row r="24" spans="1:9" ht="16.7" customHeight="1">
      <c r="A24" s="491" t="s">
        <v>447</v>
      </c>
      <c r="B24" s="489" t="s">
        <v>448</v>
      </c>
      <c r="C24" s="489" t="s">
        <v>449</v>
      </c>
      <c r="D24" s="489" t="s">
        <v>448</v>
      </c>
      <c r="E24" s="489" t="s">
        <v>449</v>
      </c>
      <c r="F24" s="489" t="s">
        <v>448</v>
      </c>
      <c r="G24" s="489" t="s">
        <v>449</v>
      </c>
      <c r="H24" s="489" t="s">
        <v>448</v>
      </c>
      <c r="I24" s="489" t="s">
        <v>449</v>
      </c>
    </row>
    <row r="25" spans="1:9" ht="16.7" customHeight="1">
      <c r="A25" s="489" t="s">
        <v>432</v>
      </c>
      <c r="B25" s="489">
        <v>4920</v>
      </c>
      <c r="C25" s="489">
        <v>946</v>
      </c>
      <c r="D25" s="489">
        <v>6396</v>
      </c>
      <c r="E25" s="489">
        <v>1230</v>
      </c>
      <c r="F25" s="489">
        <f t="shared" ref="F25:G27" si="1">D25-B25</f>
        <v>1476</v>
      </c>
      <c r="G25" s="489">
        <f t="shared" si="1"/>
        <v>284</v>
      </c>
      <c r="H25" s="492">
        <f t="shared" ref="H25:I27" si="2">F25/B25*100</f>
        <v>30</v>
      </c>
      <c r="I25" s="492">
        <f t="shared" si="2"/>
        <v>30.021141649048626</v>
      </c>
    </row>
    <row r="26" spans="1:9" ht="16.7" customHeight="1">
      <c r="A26" s="489" t="s">
        <v>433</v>
      </c>
      <c r="B26" s="489">
        <v>6726</v>
      </c>
      <c r="C26" s="489">
        <v>828</v>
      </c>
      <c r="D26" s="489">
        <v>8408</v>
      </c>
      <c r="E26" s="489">
        <v>1035</v>
      </c>
      <c r="F26" s="489">
        <f t="shared" si="1"/>
        <v>1682</v>
      </c>
      <c r="G26" s="489">
        <f t="shared" si="1"/>
        <v>207</v>
      </c>
      <c r="H26" s="492">
        <f t="shared" si="2"/>
        <v>25.007433838834377</v>
      </c>
      <c r="I26" s="492">
        <f t="shared" si="2"/>
        <v>25</v>
      </c>
    </row>
    <row r="27" spans="1:9" ht="16.7" customHeight="1">
      <c r="A27" s="489" t="s">
        <v>434</v>
      </c>
      <c r="B27" s="489">
        <v>8915</v>
      </c>
      <c r="C27" s="489">
        <v>946</v>
      </c>
      <c r="D27" s="489">
        <v>11144</v>
      </c>
      <c r="E27" s="489">
        <v>1183</v>
      </c>
      <c r="F27" s="489">
        <f t="shared" si="1"/>
        <v>2229</v>
      </c>
      <c r="G27" s="489">
        <f t="shared" si="1"/>
        <v>237</v>
      </c>
      <c r="H27" s="492">
        <f t="shared" si="2"/>
        <v>25.002804262478968</v>
      </c>
      <c r="I27" s="492">
        <f t="shared" si="2"/>
        <v>25.052854122621564</v>
      </c>
    </row>
    <row r="28" spans="1:9" ht="16.7" customHeight="1">
      <c r="A28" s="489"/>
      <c r="B28" s="489"/>
      <c r="C28" s="489"/>
      <c r="D28" s="489"/>
      <c r="E28" s="489"/>
      <c r="F28" s="489"/>
      <c r="G28" s="489"/>
      <c r="H28" s="492"/>
      <c r="I28" s="492"/>
    </row>
    <row r="29" spans="1:9" ht="16.7" customHeight="1">
      <c r="A29" s="493" t="s">
        <v>450</v>
      </c>
      <c r="B29" s="489">
        <v>10294</v>
      </c>
      <c r="C29" s="489">
        <v>629</v>
      </c>
      <c r="D29" s="489">
        <v>13584</v>
      </c>
      <c r="E29" s="489">
        <v>830</v>
      </c>
      <c r="F29" s="489">
        <f>D29-B29</f>
        <v>3290</v>
      </c>
      <c r="G29" s="489">
        <f>E29-C29</f>
        <v>201</v>
      </c>
      <c r="H29" s="492">
        <f>F29/B29*100</f>
        <v>31.960365261317271</v>
      </c>
      <c r="I29" s="492">
        <f>G29/C29*100</f>
        <v>31.955484896661368</v>
      </c>
    </row>
    <row r="30" spans="1:9" ht="16.7" customHeight="1">
      <c r="A30" s="493" t="s">
        <v>451</v>
      </c>
      <c r="B30" s="489">
        <v>1733</v>
      </c>
      <c r="C30" s="489">
        <v>829</v>
      </c>
      <c r="D30" s="489">
        <v>2426</v>
      </c>
      <c r="E30" s="489">
        <v>1161</v>
      </c>
      <c r="F30" s="489">
        <f>D30-B30</f>
        <v>693</v>
      </c>
      <c r="G30" s="489">
        <f>E30-C30</f>
        <v>332</v>
      </c>
      <c r="H30" s="492">
        <f>F30/B30*100</f>
        <v>39.988459319099832</v>
      </c>
      <c r="I30" s="492">
        <f>G30/C30*100</f>
        <v>40.04825090470446</v>
      </c>
    </row>
  </sheetData>
  <sheetProtection password="F7EB" sheet="1" objects="1" scenarios="1" selectLockedCells="1"/>
  <mergeCells count="82">
    <mergeCell ref="A1:H1"/>
    <mergeCell ref="J1:K1"/>
    <mergeCell ref="B2:C2"/>
    <mergeCell ref="D2:E2"/>
    <mergeCell ref="F2:G2"/>
    <mergeCell ref="H2:I2"/>
    <mergeCell ref="J2:K2"/>
    <mergeCell ref="A3:E3"/>
    <mergeCell ref="J3:K3"/>
    <mergeCell ref="B4:C4"/>
    <mergeCell ref="D4:E4"/>
    <mergeCell ref="F4:G4"/>
    <mergeCell ref="H4:I4"/>
    <mergeCell ref="J4:K4"/>
    <mergeCell ref="J5:K5"/>
    <mergeCell ref="B6:C6"/>
    <mergeCell ref="D6:E6"/>
    <mergeCell ref="F6:G6"/>
    <mergeCell ref="H6:I6"/>
    <mergeCell ref="B9:C9"/>
    <mergeCell ref="D9:E9"/>
    <mergeCell ref="F9:G9"/>
    <mergeCell ref="H9:I9"/>
    <mergeCell ref="B5:C5"/>
    <mergeCell ref="D5:E5"/>
    <mergeCell ref="F5:G5"/>
    <mergeCell ref="H5:I5"/>
    <mergeCell ref="A7:E7"/>
    <mergeCell ref="B8:C8"/>
    <mergeCell ref="D8:E8"/>
    <mergeCell ref="F8:G8"/>
    <mergeCell ref="H8:I8"/>
    <mergeCell ref="B14:C14"/>
    <mergeCell ref="D14:E14"/>
    <mergeCell ref="F14:G14"/>
    <mergeCell ref="H14:I14"/>
    <mergeCell ref="B10:C10"/>
    <mergeCell ref="D10:E10"/>
    <mergeCell ref="F10:G10"/>
    <mergeCell ref="H10:I10"/>
    <mergeCell ref="B11:C11"/>
    <mergeCell ref="D11:E11"/>
    <mergeCell ref="F11:G11"/>
    <mergeCell ref="H11:I11"/>
    <mergeCell ref="A12:E12"/>
    <mergeCell ref="B13:C13"/>
    <mergeCell ref="D13:E13"/>
    <mergeCell ref="F13:G13"/>
    <mergeCell ref="H13:I13"/>
    <mergeCell ref="B19:C19"/>
    <mergeCell ref="D19:E19"/>
    <mergeCell ref="F19:G19"/>
    <mergeCell ref="H19:I19"/>
    <mergeCell ref="B15:C15"/>
    <mergeCell ref="D15:E15"/>
    <mergeCell ref="F15:G15"/>
    <mergeCell ref="H15:I15"/>
    <mergeCell ref="B16:C16"/>
    <mergeCell ref="D16:E16"/>
    <mergeCell ref="F16:G16"/>
    <mergeCell ref="H16:I16"/>
    <mergeCell ref="B17:C17"/>
    <mergeCell ref="D17:E17"/>
    <mergeCell ref="F17:G17"/>
    <mergeCell ref="H17:I17"/>
    <mergeCell ref="A18:E18"/>
    <mergeCell ref="B20:C20"/>
    <mergeCell ref="D20:E20"/>
    <mergeCell ref="F20:G20"/>
    <mergeCell ref="H20:I20"/>
    <mergeCell ref="B23:C23"/>
    <mergeCell ref="D23:E23"/>
    <mergeCell ref="F23:G23"/>
    <mergeCell ref="H23:I23"/>
    <mergeCell ref="B21:C21"/>
    <mergeCell ref="D21:E21"/>
    <mergeCell ref="F21:G21"/>
    <mergeCell ref="H21:I21"/>
    <mergeCell ref="B22:C22"/>
    <mergeCell ref="D22:E22"/>
    <mergeCell ref="F22:G22"/>
    <mergeCell ref="H22:I22"/>
  </mergeCells>
  <hyperlinks>
    <hyperlink ref="J1" location="Motor Home Page!a1" display="Motor Home Page"/>
  </hyperlinks>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45"/>
  <sheetViews>
    <sheetView zoomScaleNormal="100" zoomScaleSheetLayoutView="51" workbookViewId="0">
      <selection activeCell="E3" sqref="E3:F3"/>
    </sheetView>
  </sheetViews>
  <sheetFormatPr defaultColWidth="9.42578125" defaultRowHeight="15"/>
  <cols>
    <col min="1" max="1" width="28.28515625" style="5" customWidth="1"/>
    <col min="2" max="2" width="23.28515625" style="5" customWidth="1"/>
    <col min="3" max="3" width="31.28515625" style="5" customWidth="1"/>
    <col min="4" max="4" width="10.140625" style="5" customWidth="1"/>
    <col min="5" max="5" width="34" style="5" customWidth="1"/>
    <col min="6" max="6" width="11.28515625" style="5" customWidth="1"/>
    <col min="7" max="7" width="27.28515625" style="5" customWidth="1"/>
    <col min="8" max="8" width="9.7109375" style="5" customWidth="1"/>
    <col min="9" max="9" width="13.7109375" style="5" customWidth="1"/>
    <col min="10" max="10" width="24.42578125" style="5" customWidth="1"/>
    <col min="11" max="46" width="9.42578125" style="5"/>
    <col min="47" max="47" width="4.140625" style="5" customWidth="1"/>
    <col min="48" max="48" width="7.7109375" style="5" customWidth="1"/>
    <col min="49" max="49" width="12.28515625" style="5" customWidth="1"/>
    <col min="50" max="50" width="29.42578125" style="5" customWidth="1"/>
    <col min="51" max="68" width="9.42578125" style="5"/>
    <col min="69" max="69" width="12.5703125" style="5" customWidth="1"/>
    <col min="70" max="70" width="12.7109375" style="5" customWidth="1"/>
    <col min="71" max="71" width="15.5703125" style="5" customWidth="1"/>
    <col min="72" max="72" width="11.85546875" style="5" customWidth="1"/>
    <col min="73" max="73" width="12.42578125" style="5" customWidth="1"/>
    <col min="74" max="74" width="12" style="5" customWidth="1"/>
    <col min="75" max="16384" width="9.42578125" style="5"/>
  </cols>
  <sheetData>
    <row r="1" spans="1:58" s="7" customFormat="1" ht="28.35" customHeight="1" thickBot="1">
      <c r="A1" s="952" t="s">
        <v>4</v>
      </c>
      <c r="B1" s="952"/>
      <c r="C1" s="952"/>
      <c r="D1" s="952"/>
      <c r="E1" s="952"/>
      <c r="F1" s="952"/>
      <c r="G1" s="6"/>
      <c r="H1" s="953" t="s">
        <v>5</v>
      </c>
      <c r="I1" s="953"/>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row>
    <row r="2" spans="1:58" s="7" customFormat="1" ht="28.35" customHeight="1">
      <c r="A2" s="685" t="s">
        <v>553</v>
      </c>
      <c r="B2" s="957" t="s">
        <v>15</v>
      </c>
      <c r="C2" s="957"/>
      <c r="D2" s="957"/>
      <c r="E2" s="957"/>
      <c r="F2" s="957"/>
      <c r="G2" s="6"/>
      <c r="J2" s="958" t="s">
        <v>9</v>
      </c>
      <c r="K2" s="959"/>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row>
    <row r="3" spans="1:58" s="7" customFormat="1" ht="31.15" customHeight="1">
      <c r="A3" s="924" t="s">
        <v>512</v>
      </c>
      <c r="B3" s="908" t="s">
        <v>569</v>
      </c>
      <c r="C3" s="954" t="s">
        <v>636</v>
      </c>
      <c r="D3" s="955"/>
      <c r="E3" s="956" t="s">
        <v>651</v>
      </c>
      <c r="F3" s="956"/>
      <c r="J3" s="950" t="s">
        <v>15</v>
      </c>
      <c r="K3" s="951"/>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pans="1:58" s="7" customFormat="1" ht="31.5" customHeight="1">
      <c r="A4" s="822" t="s">
        <v>6</v>
      </c>
      <c r="B4" s="823">
        <v>70000</v>
      </c>
      <c r="C4" s="824" t="s">
        <v>7</v>
      </c>
      <c r="D4" s="825">
        <v>30</v>
      </c>
      <c r="E4" s="824" t="s">
        <v>8</v>
      </c>
      <c r="F4" s="823">
        <v>0</v>
      </c>
      <c r="G4" s="833" t="s">
        <v>605</v>
      </c>
      <c r="H4" s="826" t="s">
        <v>14</v>
      </c>
      <c r="J4" s="960" t="s">
        <v>631</v>
      </c>
      <c r="K4" s="960"/>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row>
    <row r="5" spans="1:58" s="7" customFormat="1" ht="30" customHeight="1">
      <c r="A5" s="824" t="s">
        <v>10</v>
      </c>
      <c r="B5" s="826" t="s">
        <v>46</v>
      </c>
      <c r="C5" s="827" t="s">
        <v>12</v>
      </c>
      <c r="D5" s="828">
        <v>0</v>
      </c>
      <c r="E5" s="829" t="s">
        <v>13</v>
      </c>
      <c r="F5" s="826" t="s">
        <v>14</v>
      </c>
      <c r="G5" s="834" t="s">
        <v>606</v>
      </c>
      <c r="H5" s="826" t="s">
        <v>14</v>
      </c>
      <c r="J5" s="960" t="s">
        <v>483</v>
      </c>
      <c r="K5" s="960"/>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row>
    <row r="6" spans="1:58" s="7" customFormat="1" ht="32.25" customHeight="1">
      <c r="A6" s="830" t="s">
        <v>16</v>
      </c>
      <c r="B6" s="826" t="s">
        <v>84</v>
      </c>
      <c r="C6" s="824" t="s">
        <v>18</v>
      </c>
      <c r="D6" s="831" t="s">
        <v>44</v>
      </c>
      <c r="E6" s="829" t="s">
        <v>20</v>
      </c>
      <c r="F6" s="832">
        <v>0</v>
      </c>
      <c r="G6" s="10"/>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X6" s="716"/>
      <c r="AY6" s="716"/>
      <c r="AZ6" s="716"/>
      <c r="BA6" s="716"/>
      <c r="BB6" s="716"/>
      <c r="BC6" s="716"/>
      <c r="BD6" s="716"/>
      <c r="BE6" s="716"/>
      <c r="BF6" s="716"/>
    </row>
    <row r="7" spans="1:58" s="7" customFormat="1" ht="32.25" customHeight="1">
      <c r="A7" s="830" t="s">
        <v>611</v>
      </c>
      <c r="B7" s="832">
        <v>50000</v>
      </c>
      <c r="C7" s="824" t="s">
        <v>601</v>
      </c>
      <c r="D7" s="832">
        <v>100000</v>
      </c>
      <c r="E7" s="829" t="s">
        <v>458</v>
      </c>
      <c r="F7" s="826" t="s">
        <v>14</v>
      </c>
      <c r="G7" s="10"/>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X7" s="716"/>
      <c r="AY7" s="716"/>
      <c r="AZ7" s="716"/>
      <c r="BA7" s="716"/>
      <c r="BB7" s="716"/>
      <c r="BC7" s="716"/>
      <c r="BD7" s="716"/>
      <c r="BE7" s="716"/>
      <c r="BF7" s="716"/>
    </row>
    <row r="8" spans="1:58" ht="21" customHeight="1">
      <c r="A8" s="961" t="s">
        <v>21</v>
      </c>
      <c r="B8" s="961"/>
      <c r="C8" s="962" t="s">
        <v>22</v>
      </c>
      <c r="D8" s="962"/>
      <c r="E8" s="65"/>
      <c r="F8" s="65"/>
      <c r="G8" s="15"/>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X8" s="717"/>
      <c r="AY8" s="717"/>
      <c r="AZ8" s="717"/>
      <c r="BA8" s="717"/>
      <c r="BB8" s="717"/>
      <c r="BC8" s="717"/>
      <c r="BD8" s="717"/>
      <c r="BE8" s="717"/>
      <c r="BF8" s="717"/>
    </row>
    <row r="9" spans="1:58" ht="21" customHeight="1">
      <c r="A9" s="66" t="s">
        <v>23</v>
      </c>
      <c r="B9" s="67">
        <f>IF(B3="Package Policy",AZ106,AZ105)</f>
        <v>1.7929999999999999</v>
      </c>
      <c r="C9" s="68" t="s">
        <v>24</v>
      </c>
      <c r="D9" s="16">
        <f>IF(E3="Others",AY94,AY95)</f>
        <v>1193</v>
      </c>
      <c r="E9" s="17"/>
      <c r="F9" s="18"/>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X9" s="717"/>
      <c r="AY9" s="717"/>
      <c r="AZ9" s="717"/>
      <c r="BA9" s="717"/>
      <c r="BB9" s="717"/>
      <c r="BC9" s="717"/>
      <c r="BD9" s="717"/>
      <c r="BE9" s="717"/>
      <c r="BF9" s="717"/>
    </row>
    <row r="10" spans="1:58" ht="18" customHeight="1">
      <c r="A10" s="66" t="s">
        <v>515</v>
      </c>
      <c r="B10" s="66">
        <f>B9*(1-D4%)</f>
        <v>1.2550999999999999</v>
      </c>
      <c r="C10" s="71" t="s">
        <v>26</v>
      </c>
      <c r="D10" s="16">
        <f>IF($F$5="yes",275,0)</f>
        <v>275</v>
      </c>
      <c r="E10" s="17"/>
      <c r="F10" s="17"/>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X10" s="717"/>
      <c r="AY10" s="717"/>
      <c r="AZ10" s="717"/>
      <c r="BA10" s="717"/>
      <c r="BB10" s="717"/>
      <c r="BC10" s="717"/>
      <c r="BD10" s="717"/>
      <c r="BE10" s="717"/>
      <c r="BF10" s="717"/>
    </row>
    <row r="11" spans="1:58" ht="20.25" customHeight="1">
      <c r="A11" s="69" t="s">
        <v>25</v>
      </c>
      <c r="B11" s="70">
        <f>$B$4*B10%</f>
        <v>878.56999999999994</v>
      </c>
      <c r="C11" s="68" t="s">
        <v>28</v>
      </c>
      <c r="D11" s="74">
        <f>$F$6*70</f>
        <v>0</v>
      </c>
      <c r="E11" s="75" t="s">
        <v>29</v>
      </c>
      <c r="F11" s="76">
        <f>$D$13+$D$14</f>
        <v>4272.8985000000002</v>
      </c>
      <c r="G11" s="7"/>
      <c r="H11" s="7"/>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X11" s="717"/>
      <c r="AY11" s="717"/>
      <c r="AZ11" s="717"/>
      <c r="BA11" s="717"/>
      <c r="BB11" s="717"/>
      <c r="BC11" s="717"/>
      <c r="BD11" s="717"/>
      <c r="BE11" s="717"/>
      <c r="BF11" s="717"/>
    </row>
    <row r="12" spans="1:58" ht="17.25" customHeight="1">
      <c r="A12" s="72" t="s">
        <v>27</v>
      </c>
      <c r="B12" s="73">
        <f>0.04*$F$4*(1-D4%)</f>
        <v>0</v>
      </c>
      <c r="C12" s="68" t="s">
        <v>31</v>
      </c>
      <c r="D12" s="20">
        <f>$D$9+$D$10+$D$11</f>
        <v>1468</v>
      </c>
      <c r="E12" s="17"/>
      <c r="F12" s="17"/>
      <c r="G12" s="7"/>
      <c r="H12" s="7"/>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X12" s="717"/>
      <c r="AY12" s="717"/>
      <c r="AZ12" s="717"/>
      <c r="BA12" s="717"/>
      <c r="BB12" s="717"/>
      <c r="BC12" s="717"/>
      <c r="BD12" s="717"/>
      <c r="BE12" s="717"/>
      <c r="BF12" s="717"/>
    </row>
    <row r="13" spans="1:58">
      <c r="A13" s="66" t="s">
        <v>32</v>
      </c>
      <c r="B13" s="77">
        <f>$B$11+$B$12</f>
        <v>878.56999999999994</v>
      </c>
      <c r="C13" s="68" t="s">
        <v>33</v>
      </c>
      <c r="D13" s="21">
        <f>$D$12+$B$28</f>
        <v>3620.8985000000002</v>
      </c>
      <c r="E13" s="17"/>
      <c r="F13" s="17"/>
      <c r="G13" s="7"/>
      <c r="H13" s="7"/>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X13" s="717"/>
      <c r="AY13" s="717"/>
      <c r="AZ13" s="717"/>
      <c r="BA13" s="717"/>
      <c r="BB13" s="717"/>
      <c r="BC13" s="717"/>
      <c r="BD13" s="717"/>
      <c r="BE13" s="717"/>
      <c r="BF13" s="717"/>
    </row>
    <row r="14" spans="1:58">
      <c r="A14" s="66" t="s">
        <v>12</v>
      </c>
      <c r="B14" s="77">
        <f>$D$5%*$B$13</f>
        <v>0</v>
      </c>
      <c r="C14" s="68" t="s">
        <v>514</v>
      </c>
      <c r="D14" s="21">
        <f>ROUNDUP('Motor Home Page'!N1%*$D$13,0)</f>
        <v>652</v>
      </c>
      <c r="E14" s="17"/>
      <c r="F14" s="17"/>
      <c r="G14" s="7"/>
      <c r="H14" s="7"/>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X14" s="717"/>
      <c r="AY14" s="717"/>
      <c r="AZ14" s="717"/>
      <c r="BA14" s="717"/>
      <c r="BB14" s="717"/>
      <c r="BC14" s="717"/>
      <c r="BD14" s="717"/>
      <c r="BE14" s="717"/>
      <c r="BF14" s="717"/>
    </row>
    <row r="15" spans="1:58" ht="15.75" thickBot="1">
      <c r="A15" s="66" t="s">
        <v>85</v>
      </c>
      <c r="B15" s="353">
        <f>IF($B$6=$AX$101,0.12,IF($B$6=$AX$102,0.22,IF($B$6=$AX$103,0.3,IF($B$6=$AX$104,0.4,IF($B$6=$AX$105,0.6,0)))))</f>
        <v>0.12</v>
      </c>
      <c r="C15" s="78"/>
      <c r="D15" s="22"/>
      <c r="G15" s="964" t="s">
        <v>588</v>
      </c>
      <c r="H15" s="964"/>
      <c r="I15" s="964"/>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X15" s="717"/>
      <c r="AY15" s="717"/>
      <c r="AZ15" s="717"/>
      <c r="BA15" s="717"/>
      <c r="BB15" s="717"/>
      <c r="BC15" s="717"/>
      <c r="BD15" s="717"/>
      <c r="BE15" s="717"/>
      <c r="BF15" s="717"/>
    </row>
    <row r="16" spans="1:58" ht="17.25" customHeight="1">
      <c r="A16" s="66" t="s">
        <v>86</v>
      </c>
      <c r="B16" s="77">
        <f>IF(B3="Enhancement Policy",$B$15%*($B$4+F4),0)</f>
        <v>83.999999999999986</v>
      </c>
      <c r="C16" s="17"/>
      <c r="D16" s="79"/>
      <c r="E16" s="17"/>
      <c r="F16" s="17"/>
      <c r="G16" s="964"/>
      <c r="H16" s="964"/>
      <c r="I16" s="964"/>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X16" s="717"/>
      <c r="AY16" s="717"/>
      <c r="AZ16" s="717"/>
      <c r="BA16" s="717"/>
      <c r="BB16" s="717"/>
      <c r="BC16" s="717"/>
      <c r="BD16" s="717"/>
      <c r="BE16" s="717"/>
      <c r="BF16" s="717"/>
    </row>
    <row r="17" spans="1:58" ht="16.7" customHeight="1">
      <c r="A17" s="66" t="s">
        <v>593</v>
      </c>
      <c r="B17" s="66">
        <f>IF(AND(B6&lt;&gt;"5 to 10",B6&lt;&gt;"&gt;10"),1.67,0)</f>
        <v>1.67</v>
      </c>
      <c r="C17" s="965" t="s">
        <v>435</v>
      </c>
      <c r="D17" s="966"/>
      <c r="E17" s="967"/>
      <c r="F17" s="17"/>
      <c r="G17" s="7"/>
      <c r="H17" s="7"/>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X17" s="717"/>
      <c r="AY17" s="717"/>
      <c r="AZ17" s="717"/>
      <c r="BA17" s="717"/>
      <c r="BB17" s="717"/>
      <c r="BC17" s="717"/>
      <c r="BD17" s="717"/>
      <c r="BE17" s="717"/>
      <c r="BF17" s="717"/>
    </row>
    <row r="18" spans="1:58" ht="18.75">
      <c r="A18" s="820" t="s">
        <v>594</v>
      </c>
      <c r="B18" s="66">
        <f>IF(B7&lt;&gt;0,B17%*B7,0)</f>
        <v>835</v>
      </c>
      <c r="C18" s="921" t="s">
        <v>638</v>
      </c>
      <c r="D18" s="965" t="s">
        <v>41</v>
      </c>
      <c r="E18" s="967"/>
      <c r="F18" s="82"/>
      <c r="G18" s="7"/>
      <c r="H18" s="7"/>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X18" s="717"/>
      <c r="AY18" s="717"/>
      <c r="AZ18" s="717"/>
      <c r="BA18" s="717"/>
      <c r="BB18" s="717"/>
      <c r="BC18" s="717"/>
      <c r="BD18" s="717"/>
      <c r="BE18" s="717"/>
      <c r="BF18" s="717"/>
    </row>
    <row r="19" spans="1:58" ht="16.7" customHeight="1">
      <c r="A19" s="66" t="s">
        <v>595</v>
      </c>
      <c r="B19" s="66">
        <f>IF(B6=AX101,0.17,IF(B6=AX102,0.33,IF(B6=AX103,0.5,0)))</f>
        <v>0.17</v>
      </c>
      <c r="C19" s="922" t="s">
        <v>645</v>
      </c>
      <c r="D19" s="968" t="s">
        <v>47</v>
      </c>
      <c r="E19" s="968"/>
      <c r="F19" s="28"/>
      <c r="G19" s="7"/>
      <c r="H19" s="7"/>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X19" s="717"/>
      <c r="AY19" s="717"/>
      <c r="AZ19" s="717"/>
      <c r="BA19" s="717"/>
      <c r="BB19" s="717"/>
      <c r="BC19" s="717"/>
      <c r="BD19" s="717"/>
      <c r="BE19" s="717"/>
      <c r="BF19" s="717"/>
    </row>
    <row r="20" spans="1:58">
      <c r="A20" s="820" t="s">
        <v>596</v>
      </c>
      <c r="B20" s="77">
        <f>IF(D7&lt;&gt;0,B19%*D7,0)</f>
        <v>170</v>
      </c>
      <c r="C20" s="922" t="s">
        <v>646</v>
      </c>
      <c r="D20" s="968" t="s">
        <v>649</v>
      </c>
      <c r="E20" s="968"/>
      <c r="F20" s="30"/>
      <c r="G20" s="7"/>
      <c r="H20" s="7"/>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X20" s="717"/>
      <c r="AY20" s="717"/>
      <c r="AZ20" s="717"/>
      <c r="BA20" s="717"/>
      <c r="BB20" s="717"/>
      <c r="BC20" s="717"/>
      <c r="BD20" s="717"/>
      <c r="BE20" s="717"/>
      <c r="BF20" s="717"/>
    </row>
    <row r="21" spans="1:58">
      <c r="A21" s="66" t="s">
        <v>597</v>
      </c>
      <c r="B21" s="66">
        <f>IF(AND(B6&lt;&gt;"5 to 10",B6&lt;&gt;"&gt;10"),VLOOKUP(D5,AW112:AX117,2,1),0)</f>
        <v>5</v>
      </c>
      <c r="C21" s="922" t="s">
        <v>647</v>
      </c>
      <c r="D21" s="968" t="s">
        <v>650</v>
      </c>
      <c r="E21" s="968"/>
      <c r="F21" s="31"/>
      <c r="G21" s="7"/>
      <c r="H21" s="7"/>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X21" s="717"/>
      <c r="AY21" s="717"/>
      <c r="AZ21" s="717"/>
      <c r="BA21" s="717"/>
      <c r="BB21" s="717"/>
      <c r="BC21" s="717"/>
      <c r="BD21" s="717"/>
      <c r="BE21" s="717"/>
      <c r="BF21" s="717"/>
    </row>
    <row r="22" spans="1:58">
      <c r="A22" s="820" t="s">
        <v>598</v>
      </c>
      <c r="B22" s="77">
        <f>IF(F7="Yes",B21%*B13,0)</f>
        <v>43.9285</v>
      </c>
      <c r="C22" s="922" t="s">
        <v>648</v>
      </c>
      <c r="D22" s="968" t="s">
        <v>45</v>
      </c>
      <c r="E22" s="968"/>
      <c r="F22" s="30"/>
      <c r="G22" s="7"/>
      <c r="H22" s="7"/>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row>
    <row r="23" spans="1:58">
      <c r="A23" s="66" t="s">
        <v>599</v>
      </c>
      <c r="B23" s="66">
        <f>IF(AND(B6&lt;&gt;"5 to 10",B6&lt;&gt;"&gt;10"),VLOOKUP(B6,AW119:AX123,2,0),0)</f>
        <v>0.11</v>
      </c>
      <c r="E23" s="27"/>
      <c r="F23" s="30"/>
      <c r="G23" s="7"/>
      <c r="H23" s="7"/>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row>
    <row r="24" spans="1:58">
      <c r="A24" s="820" t="s">
        <v>600</v>
      </c>
      <c r="B24" s="66">
        <f>IF(H4="Yes",B23%*B4,0)</f>
        <v>77</v>
      </c>
      <c r="E24" s="29"/>
      <c r="F24" s="31"/>
      <c r="G24" s="7"/>
      <c r="H24" s="7"/>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row>
    <row r="25" spans="1:58">
      <c r="A25" s="66" t="s">
        <v>607</v>
      </c>
      <c r="B25" s="66">
        <f>IF(AND(B6&lt;&gt;"5 to 10",B6&lt;&gt;"&gt;10"),VLOOKUP(B6,AW119:AY123,3,0),0)</f>
        <v>9.1999999999999998E-2</v>
      </c>
      <c r="C25" s="26"/>
      <c r="D25" s="23"/>
      <c r="E25" s="33"/>
      <c r="F25" s="34"/>
      <c r="G25" s="7"/>
      <c r="H25" s="7"/>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row>
    <row r="26" spans="1:58" ht="18.75">
      <c r="A26" s="820" t="s">
        <v>608</v>
      </c>
      <c r="B26" s="66">
        <f>IF(H5="Yes",B25%*B4,0)</f>
        <v>64.400000000000006</v>
      </c>
      <c r="C26" s="26"/>
      <c r="D26" s="23"/>
      <c r="E26" s="33"/>
      <c r="F26" s="35"/>
      <c r="G26" s="7"/>
      <c r="H26" s="7"/>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row>
    <row r="27" spans="1:58" ht="33.6" customHeight="1">
      <c r="A27" s="69" t="s">
        <v>610</v>
      </c>
      <c r="B27" s="77">
        <f>B18+B20+B22+B24+B26</f>
        <v>1190.3285000000001</v>
      </c>
      <c r="C27" s="26"/>
      <c r="D27" s="36"/>
      <c r="E27" s="37"/>
      <c r="F27" s="37"/>
      <c r="G27" s="7"/>
      <c r="H27" s="7"/>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row>
    <row r="28" spans="1:58" ht="18.75">
      <c r="A28" s="80" t="s">
        <v>35</v>
      </c>
      <c r="B28" s="81">
        <f>$B$13-$B$14+$B$16+B27</f>
        <v>2152.8985000000002</v>
      </c>
      <c r="C28" s="38"/>
      <c r="D28" s="23"/>
      <c r="E28" s="963"/>
      <c r="F28" s="963"/>
      <c r="G28" s="7"/>
      <c r="H28" s="7"/>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row>
    <row r="29" spans="1:58">
      <c r="A29" s="32"/>
      <c r="B29" s="32"/>
      <c r="C29" s="32"/>
      <c r="D29" s="39"/>
      <c r="E29" s="29"/>
      <c r="F29" s="30"/>
      <c r="G29" s="7"/>
      <c r="H29" s="7"/>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row>
    <row r="30" spans="1:58">
      <c r="A30" s="32"/>
      <c r="B30" s="32"/>
      <c r="C30" s="32"/>
      <c r="D30" s="39"/>
      <c r="E30" s="40"/>
      <c r="F30" s="41"/>
      <c r="G30" s="7"/>
      <c r="H30" s="7"/>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row>
    <row r="31" spans="1:58">
      <c r="C31" s="32"/>
      <c r="D31" s="39"/>
      <c r="E31" s="40"/>
      <c r="F31" s="41"/>
      <c r="G31" s="7"/>
      <c r="H31" s="7"/>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row>
    <row r="32" spans="1:58">
      <c r="A32" s="32"/>
      <c r="B32" s="32"/>
      <c r="C32" s="32"/>
      <c r="D32" s="39"/>
      <c r="E32" s="40"/>
      <c r="F32" s="41"/>
      <c r="G32" s="7"/>
      <c r="H32" s="7"/>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row>
    <row r="33" spans="1:45" ht="15.75">
      <c r="A33" s="32"/>
      <c r="B33" s="32"/>
      <c r="C33" s="32"/>
      <c r="D33" s="32"/>
      <c r="E33" s="42"/>
      <c r="F33" s="43"/>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row>
    <row r="34" spans="1:45" ht="15.75">
      <c r="A34" s="32"/>
      <c r="B34" s="32"/>
      <c r="C34" s="32"/>
      <c r="D34" s="32"/>
      <c r="E34" s="40"/>
      <c r="F34" s="43"/>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row>
    <row r="35" spans="1:45" ht="15" customHeight="1">
      <c r="A35" s="32"/>
      <c r="B35" s="32"/>
      <c r="C35" s="32"/>
      <c r="D35" s="32"/>
      <c r="E35" s="33"/>
      <c r="F35" s="44"/>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row>
    <row r="36" spans="1:45" ht="18.75">
      <c r="A36" s="32"/>
      <c r="B36" s="32"/>
      <c r="C36" s="32"/>
      <c r="D36" s="32"/>
      <c r="E36" s="45"/>
      <c r="F36" s="35"/>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row>
    <row r="37" spans="1:45">
      <c r="A37" s="32"/>
      <c r="B37" s="32"/>
      <c r="C37" s="32"/>
      <c r="D37" s="32"/>
      <c r="E37" s="28"/>
      <c r="F37" s="28"/>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row>
    <row r="38" spans="1:45">
      <c r="A38" s="32"/>
      <c r="B38" s="32"/>
      <c r="C38" s="32"/>
      <c r="D38" s="32"/>
      <c r="E38" s="28"/>
      <c r="F38" s="28"/>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row>
    <row r="39" spans="1:45">
      <c r="A39" s="32"/>
      <c r="B39" s="32"/>
      <c r="C39" s="32"/>
      <c r="D39" s="32"/>
      <c r="E39" s="28"/>
      <c r="F39" s="28"/>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row>
    <row r="40" spans="1:45">
      <c r="A40" s="32"/>
      <c r="B40" s="32"/>
      <c r="C40" s="32"/>
      <c r="D40" s="32"/>
      <c r="E40" s="28"/>
      <c r="F40" s="28"/>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row>
    <row r="41" spans="1:45">
      <c r="A41" s="32"/>
      <c r="B41" s="32"/>
      <c r="C41" s="32"/>
      <c r="D41" s="32"/>
      <c r="E41" s="28"/>
      <c r="F41" s="28"/>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row>
    <row r="42" spans="1:45">
      <c r="A42" s="32"/>
      <c r="B42" s="32"/>
      <c r="C42" s="32"/>
      <c r="D42" s="32"/>
      <c r="E42" s="28"/>
      <c r="F42" s="28"/>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row>
    <row r="43" spans="1:45">
      <c r="A43" s="32"/>
      <c r="B43" s="32"/>
      <c r="C43" s="32"/>
      <c r="D43" s="32"/>
      <c r="E43" s="28"/>
      <c r="F43" s="28"/>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row>
    <row r="44" spans="1:45">
      <c r="A44" s="32"/>
      <c r="B44" s="32"/>
      <c r="C44" s="32"/>
      <c r="D44" s="32"/>
      <c r="E44" s="28"/>
      <c r="F44" s="28"/>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row>
    <row r="45" spans="1:45">
      <c r="A45" s="32"/>
      <c r="B45" s="32"/>
      <c r="C45" s="32"/>
      <c r="D45" s="32"/>
      <c r="E45" s="28"/>
      <c r="F45" s="28"/>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row>
    <row r="46" spans="1:45">
      <c r="A46" s="32"/>
      <c r="B46" s="32"/>
      <c r="C46" s="32"/>
      <c r="D46" s="32"/>
      <c r="E46" s="28"/>
      <c r="F46" s="28"/>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row>
    <row r="47" spans="1:45">
      <c r="A47" s="32"/>
      <c r="B47" s="32"/>
      <c r="C47" s="32"/>
      <c r="D47" s="32"/>
      <c r="E47" s="28"/>
      <c r="F47" s="28"/>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row>
    <row r="48" spans="1:45">
      <c r="A48" s="32"/>
      <c r="B48" s="32"/>
      <c r="C48" s="32"/>
      <c r="D48" s="32"/>
      <c r="E48" s="28"/>
      <c r="F48" s="28"/>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row>
    <row r="49" spans="1:45">
      <c r="A49" s="32"/>
      <c r="B49" s="32"/>
      <c r="C49" s="32"/>
      <c r="D49" s="32"/>
      <c r="E49" s="28"/>
      <c r="F49" s="28"/>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row>
    <row r="50" spans="1:45">
      <c r="A50" s="32"/>
      <c r="B50" s="32"/>
      <c r="C50" s="32"/>
      <c r="D50" s="32"/>
      <c r="E50" s="28"/>
      <c r="F50" s="28"/>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row>
    <row r="51" spans="1:45">
      <c r="A51" s="32"/>
      <c r="B51" s="32"/>
      <c r="C51" s="32"/>
      <c r="D51" s="32"/>
      <c r="E51" s="46"/>
      <c r="F51" s="47"/>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row>
    <row r="52" spans="1:45">
      <c r="A52" s="32"/>
      <c r="B52" s="32"/>
      <c r="C52" s="32"/>
      <c r="D52" s="32"/>
      <c r="E52" s="48"/>
      <c r="F52" s="47"/>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row>
    <row r="53" spans="1:45">
      <c r="A53" s="32"/>
      <c r="B53" s="32"/>
      <c r="C53" s="32"/>
      <c r="D53" s="32"/>
      <c r="E53" s="28"/>
      <c r="F53" s="28"/>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row>
    <row r="54" spans="1:45">
      <c r="A54" s="32"/>
      <c r="B54" s="32"/>
      <c r="C54" s="32"/>
      <c r="D54" s="32"/>
      <c r="E54" s="28"/>
      <c r="F54" s="28"/>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row>
    <row r="55" spans="1:45">
      <c r="A55" s="32"/>
      <c r="B55" s="32"/>
      <c r="C55" s="32"/>
      <c r="D55" s="32"/>
      <c r="E55" s="28"/>
      <c r="F55" s="28"/>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row>
    <row r="56" spans="1:45">
      <c r="A56" s="32"/>
      <c r="B56" s="32"/>
      <c r="C56" s="32"/>
      <c r="D56" s="32"/>
      <c r="E56" s="28"/>
      <c r="F56" s="28"/>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row>
    <row r="57" spans="1:45">
      <c r="A57" s="32"/>
      <c r="B57" s="32"/>
      <c r="C57" s="32"/>
      <c r="D57" s="32"/>
      <c r="E57" s="28"/>
      <c r="F57" s="28"/>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row>
    <row r="58" spans="1:45">
      <c r="A58" s="32"/>
      <c r="B58" s="32"/>
      <c r="C58" s="32"/>
      <c r="D58" s="32"/>
      <c r="E58" s="28"/>
      <c r="F58" s="28"/>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row>
    <row r="59" spans="1:45">
      <c r="A59" s="32"/>
      <c r="B59" s="32"/>
      <c r="C59" s="32"/>
      <c r="D59" s="32"/>
      <c r="E59" s="28"/>
      <c r="F59" s="28"/>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row>
    <row r="60" spans="1:45">
      <c r="A60" s="32"/>
      <c r="B60" s="32"/>
      <c r="C60" s="32"/>
      <c r="D60" s="32"/>
      <c r="E60" s="28"/>
      <c r="F60" s="28"/>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row>
    <row r="61" spans="1:45">
      <c r="E61" s="28"/>
      <c r="F61" s="28"/>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row>
    <row r="62" spans="1:45">
      <c r="E62" s="28"/>
      <c r="F62" s="28"/>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row>
    <row r="63" spans="1:45">
      <c r="E63" s="28"/>
      <c r="F63" s="28"/>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row>
    <row r="64" spans="1:45">
      <c r="E64" s="28"/>
      <c r="F64" s="28"/>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row>
    <row r="65" spans="5:68">
      <c r="E65" s="28"/>
      <c r="F65" s="28"/>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row>
    <row r="66" spans="5:68">
      <c r="E66" s="28"/>
      <c r="F66" s="28"/>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row>
    <row r="67" spans="5:68">
      <c r="E67" s="28"/>
      <c r="F67" s="28"/>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row>
    <row r="68" spans="5:68">
      <c r="E68" s="28"/>
      <c r="F68" s="28"/>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row>
    <row r="69" spans="5:68">
      <c r="E69" s="28"/>
      <c r="F69" s="28"/>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row>
    <row r="70" spans="5:68">
      <c r="E70" s="28"/>
      <c r="F70" s="28"/>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row>
    <row r="71" spans="5:68">
      <c r="E71" s="28"/>
      <c r="F71" s="28"/>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row>
    <row r="72" spans="5:68">
      <c r="E72" s="28"/>
      <c r="F72" s="28"/>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row>
    <row r="73" spans="5:68">
      <c r="E73" s="28"/>
      <c r="F73" s="28"/>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row>
    <row r="74" spans="5:68">
      <c r="E74" s="28"/>
      <c r="F74" s="28"/>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row>
    <row r="75" spans="5:68">
      <c r="E75" s="28"/>
      <c r="F75" s="28"/>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row>
    <row r="76" spans="5:68">
      <c r="E76" s="28"/>
      <c r="F76" s="28"/>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row>
    <row r="77" spans="5:68">
      <c r="E77" s="28"/>
      <c r="F77" s="28"/>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row>
    <row r="78" spans="5:68">
      <c r="E78" s="28"/>
      <c r="F78" s="28"/>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496"/>
      <c r="AQ78" s="496"/>
      <c r="AR78" s="496"/>
      <c r="AS78" s="496"/>
      <c r="AT78" s="496"/>
      <c r="AU78" s="496"/>
      <c r="AV78" s="496"/>
      <c r="AW78" s="496"/>
      <c r="AX78" s="496"/>
      <c r="AY78" s="496"/>
      <c r="AZ78" s="496"/>
      <c r="BA78" s="496"/>
      <c r="BB78" s="496"/>
      <c r="BC78" s="496"/>
      <c r="BD78" s="496"/>
      <c r="BE78" s="496"/>
      <c r="BF78" s="496"/>
      <c r="BG78" s="496"/>
      <c r="BH78" s="496"/>
      <c r="BI78" s="496"/>
      <c r="BJ78" s="496"/>
      <c r="BK78" s="496"/>
      <c r="BL78" s="496"/>
      <c r="BM78" s="496"/>
      <c r="BN78" s="496"/>
      <c r="BO78" s="496"/>
      <c r="BP78" s="496"/>
    </row>
    <row r="79" spans="5:68">
      <c r="E79" s="28"/>
      <c r="F79" s="28"/>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496"/>
      <c r="AQ79" s="496"/>
      <c r="AR79" s="496"/>
      <c r="AS79" s="496"/>
      <c r="AT79" s="496"/>
      <c r="AU79" s="496"/>
      <c r="AV79" s="496"/>
      <c r="AW79" s="496"/>
      <c r="AX79" s="496"/>
      <c r="AY79" s="496"/>
      <c r="AZ79" s="496"/>
      <c r="BA79" s="496"/>
      <c r="BB79" s="496"/>
      <c r="BC79" s="496"/>
      <c r="BD79" s="496"/>
      <c r="BE79" s="496"/>
      <c r="BF79" s="496"/>
      <c r="BG79" s="496"/>
      <c r="BH79" s="496"/>
      <c r="BI79" s="496"/>
      <c r="BJ79" s="496"/>
      <c r="BK79" s="496"/>
      <c r="BL79" s="496"/>
      <c r="BM79" s="496"/>
      <c r="BN79" s="496"/>
      <c r="BO79" s="496"/>
      <c r="BP79" s="496"/>
    </row>
    <row r="80" spans="5:68">
      <c r="E80" s="28"/>
      <c r="F80" s="28"/>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496"/>
      <c r="AQ80" s="496"/>
      <c r="AR80" s="496"/>
      <c r="AS80" s="496"/>
      <c r="AT80" s="925"/>
      <c r="AU80" s="925"/>
      <c r="AV80" s="925"/>
      <c r="AW80" s="925"/>
      <c r="AX80" s="925"/>
      <c r="AY80" s="925"/>
      <c r="AZ80" s="925"/>
      <c r="BA80" s="925"/>
      <c r="BB80" s="925"/>
      <c r="BC80" s="925"/>
      <c r="BD80" s="925"/>
      <c r="BE80" s="925"/>
      <c r="BF80" s="925"/>
      <c r="BG80" s="925"/>
      <c r="BH80" s="925"/>
      <c r="BI80" s="925"/>
      <c r="BJ80" s="925"/>
      <c r="BK80" s="925"/>
      <c r="BL80" s="925"/>
      <c r="BM80" s="925"/>
      <c r="BN80" s="925"/>
      <c r="BO80" s="925"/>
      <c r="BP80" s="496"/>
    </row>
    <row r="81" spans="5:73">
      <c r="E81" s="28"/>
      <c r="F81" s="28"/>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496"/>
      <c r="AQ81" s="496"/>
      <c r="AR81" s="496"/>
      <c r="AS81" s="496"/>
      <c r="AT81" s="925"/>
      <c r="AU81" s="925"/>
      <c r="AV81" s="925"/>
      <c r="AW81" s="925"/>
      <c r="AX81" s="925"/>
      <c r="AY81" s="925"/>
      <c r="AZ81" s="925"/>
      <c r="BA81" s="925"/>
      <c r="BB81" s="925"/>
      <c r="BC81" s="925"/>
      <c r="BD81" s="925"/>
      <c r="BE81" s="925"/>
      <c r="BF81" s="925"/>
      <c r="BG81" s="925"/>
      <c r="BH81" s="925"/>
      <c r="BI81" s="925"/>
      <c r="BJ81" s="925"/>
      <c r="BK81" s="925"/>
      <c r="BL81" s="925"/>
      <c r="BM81" s="925"/>
      <c r="BN81" s="925"/>
      <c r="BO81" s="925"/>
      <c r="BP81" s="496"/>
    </row>
    <row r="82" spans="5:73">
      <c r="E82" s="28"/>
      <c r="F82" s="28"/>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496"/>
      <c r="AQ82" s="496"/>
      <c r="AR82" s="496"/>
      <c r="AS82" s="496"/>
      <c r="AT82" s="925"/>
      <c r="AU82" s="925"/>
      <c r="AV82" s="925"/>
      <c r="AW82" s="925"/>
      <c r="AX82" s="925"/>
      <c r="AY82" s="925"/>
      <c r="AZ82" s="925"/>
      <c r="BA82" s="925"/>
      <c r="BB82" s="925"/>
      <c r="BC82" s="925"/>
      <c r="BD82" s="925"/>
      <c r="BE82" s="925"/>
      <c r="BF82" s="925"/>
      <c r="BG82" s="925"/>
      <c r="BH82" s="925"/>
      <c r="BI82" s="925"/>
      <c r="BJ82" s="925"/>
      <c r="BK82" s="925"/>
      <c r="BL82" s="925"/>
      <c r="BM82" s="925"/>
      <c r="BN82" s="925"/>
      <c r="BO82" s="925"/>
      <c r="BP82" s="496"/>
    </row>
    <row r="83" spans="5:73">
      <c r="E83" s="28"/>
      <c r="F83" s="28"/>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496"/>
      <c r="AQ83" s="496"/>
      <c r="AR83" s="496"/>
      <c r="AS83" s="496"/>
      <c r="AT83" s="925"/>
      <c r="AU83" s="925"/>
      <c r="AV83" s="925"/>
      <c r="AW83" s="925"/>
      <c r="AX83" s="925"/>
      <c r="AY83" s="925"/>
      <c r="AZ83" s="925"/>
      <c r="BA83" s="925"/>
      <c r="BB83" s="925"/>
      <c r="BC83" s="925"/>
      <c r="BD83" s="925"/>
      <c r="BE83" s="925"/>
      <c r="BF83" s="925"/>
      <c r="BG83" s="925"/>
      <c r="BH83" s="925"/>
      <c r="BI83" s="925"/>
      <c r="BJ83" s="925"/>
      <c r="BK83" s="925"/>
      <c r="BL83" s="925"/>
      <c r="BM83" s="925"/>
      <c r="BN83" s="925"/>
      <c r="BO83" s="925"/>
      <c r="BP83" s="496"/>
    </row>
    <row r="84" spans="5:73">
      <c r="E84" s="28"/>
      <c r="F84" s="28"/>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496"/>
      <c r="AQ84" s="496"/>
      <c r="AR84" s="496"/>
      <c r="AS84" s="496"/>
      <c r="AT84" s="925"/>
      <c r="AU84" s="925"/>
      <c r="AV84" s="925"/>
      <c r="AW84" s="925"/>
      <c r="AX84" s="925"/>
      <c r="AY84" s="925"/>
      <c r="AZ84" s="925"/>
      <c r="BA84" s="925"/>
      <c r="BB84" s="925"/>
      <c r="BC84" s="925"/>
      <c r="BD84" s="925"/>
      <c r="BE84" s="925"/>
      <c r="BF84" s="925"/>
      <c r="BG84" s="925"/>
      <c r="BH84" s="925"/>
      <c r="BI84" s="925"/>
      <c r="BJ84" s="925"/>
      <c r="BK84" s="925"/>
      <c r="BL84" s="925"/>
      <c r="BM84" s="925"/>
      <c r="BN84" s="925"/>
      <c r="BO84" s="925"/>
      <c r="BP84" s="496"/>
    </row>
    <row r="85" spans="5:73">
      <c r="E85" s="28"/>
      <c r="F85" s="28"/>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496"/>
      <c r="AQ85" s="496"/>
      <c r="AR85" s="496"/>
      <c r="AS85" s="496"/>
      <c r="AT85" s="925"/>
      <c r="AU85" s="925"/>
      <c r="AV85" s="925"/>
      <c r="AW85" s="925"/>
      <c r="AX85" s="925"/>
      <c r="AY85" s="925"/>
      <c r="AZ85" s="925"/>
      <c r="BA85" s="925"/>
      <c r="BB85" s="925"/>
      <c r="BC85" s="925"/>
      <c r="BD85" s="925"/>
      <c r="BE85" s="925"/>
      <c r="BF85" s="925"/>
      <c r="BG85" s="925"/>
      <c r="BH85" s="925"/>
      <c r="BI85" s="925"/>
      <c r="BJ85" s="925"/>
      <c r="BK85" s="925"/>
      <c r="BL85" s="925"/>
      <c r="BM85" s="925"/>
      <c r="BN85" s="925"/>
      <c r="BO85" s="925"/>
      <c r="BP85" s="496"/>
    </row>
    <row r="86" spans="5:73">
      <c r="E86" s="28"/>
      <c r="F86" s="28"/>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496"/>
      <c r="AQ86" s="496"/>
      <c r="AR86" s="496"/>
      <c r="AS86" s="496"/>
      <c r="AT86" s="925"/>
      <c r="AU86" s="925"/>
      <c r="AV86" s="925"/>
      <c r="AW86" s="925"/>
      <c r="AX86" s="925"/>
      <c r="AY86" s="925"/>
      <c r="AZ86" s="925"/>
      <c r="BA86" s="925"/>
      <c r="BB86" s="925"/>
      <c r="BC86" s="925"/>
      <c r="BD86" s="925"/>
      <c r="BE86" s="925"/>
      <c r="BF86" s="925"/>
      <c r="BG86" s="925"/>
      <c r="BH86" s="925"/>
      <c r="BI86" s="925"/>
      <c r="BJ86" s="925"/>
      <c r="BK86" s="925"/>
      <c r="BL86" s="925"/>
      <c r="BM86" s="925"/>
      <c r="BN86" s="925"/>
      <c r="BO86" s="925"/>
      <c r="BP86" s="496"/>
    </row>
    <row r="87" spans="5:73">
      <c r="E87" s="28"/>
      <c r="F87" s="28"/>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496"/>
      <c r="AQ87" s="496"/>
      <c r="AR87" s="496"/>
      <c r="AS87" s="496"/>
      <c r="AT87" s="925"/>
      <c r="AU87" s="925"/>
      <c r="AV87" s="925"/>
      <c r="AW87" s="925"/>
      <c r="AX87" s="925"/>
      <c r="AY87" s="925"/>
      <c r="AZ87" s="925"/>
      <c r="BA87" s="925"/>
      <c r="BB87" s="925"/>
      <c r="BC87" s="925"/>
      <c r="BD87" s="925"/>
      <c r="BE87" s="925"/>
      <c r="BF87" s="925"/>
      <c r="BG87" s="925"/>
      <c r="BH87" s="925"/>
      <c r="BI87" s="925"/>
      <c r="BJ87" s="925"/>
      <c r="BK87" s="925"/>
      <c r="BL87" s="925"/>
      <c r="BM87" s="925"/>
      <c r="BN87" s="925"/>
      <c r="BO87" s="925"/>
      <c r="BP87" s="496"/>
    </row>
    <row r="88" spans="5:73">
      <c r="E88" s="28"/>
      <c r="F88" s="28"/>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496"/>
      <c r="AQ88" s="496"/>
      <c r="AR88" s="496"/>
      <c r="AS88" s="496"/>
      <c r="AT88" s="925"/>
      <c r="AU88" s="925"/>
      <c r="AV88" s="925"/>
      <c r="AW88" s="925"/>
      <c r="AX88" s="925"/>
      <c r="AY88" s="925"/>
      <c r="AZ88" s="925"/>
      <c r="BA88" s="925"/>
      <c r="BB88" s="925"/>
      <c r="BC88" s="925"/>
      <c r="BD88" s="925"/>
      <c r="BE88" s="925"/>
      <c r="BF88" s="925"/>
      <c r="BG88" s="925"/>
      <c r="BH88" s="925"/>
      <c r="BI88" s="925"/>
      <c r="BJ88" s="925"/>
      <c r="BK88" s="925"/>
      <c r="BL88" s="925"/>
      <c r="BM88" s="925"/>
      <c r="BN88" s="925"/>
      <c r="BO88" s="925"/>
      <c r="BP88" s="496"/>
    </row>
    <row r="89" spans="5:73">
      <c r="E89" s="28"/>
      <c r="F89" s="28"/>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496"/>
      <c r="AQ89" s="496"/>
      <c r="AR89" s="496"/>
      <c r="AS89" s="496"/>
      <c r="AT89" s="925"/>
      <c r="AU89" s="925"/>
      <c r="AV89" s="925"/>
      <c r="AW89" s="925"/>
      <c r="AX89" s="925"/>
      <c r="AY89" s="925"/>
      <c r="AZ89" s="925"/>
      <c r="BA89" s="925"/>
      <c r="BB89" s="925"/>
      <c r="BC89" s="925"/>
      <c r="BD89" s="925"/>
      <c r="BE89" s="925"/>
      <c r="BF89" s="925"/>
      <c r="BG89" s="925"/>
      <c r="BH89" s="925"/>
      <c r="BI89" s="925"/>
      <c r="BJ89" s="925"/>
      <c r="BK89" s="925"/>
      <c r="BL89" s="925"/>
      <c r="BM89" s="925"/>
      <c r="BN89" s="925"/>
      <c r="BO89" s="925"/>
      <c r="BP89" s="496"/>
    </row>
    <row r="90" spans="5:73">
      <c r="E90" s="28"/>
      <c r="F90" s="28"/>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496"/>
      <c r="AQ90" s="496"/>
      <c r="AR90" s="496"/>
      <c r="AS90" s="496"/>
      <c r="AT90" s="925"/>
      <c r="AU90" s="925"/>
      <c r="AV90" s="925"/>
      <c r="AW90" s="925"/>
      <c r="AX90" s="925"/>
      <c r="AY90" s="925"/>
      <c r="AZ90" s="925"/>
      <c r="BA90" s="925"/>
      <c r="BB90" s="925"/>
      <c r="BC90" s="925"/>
      <c r="BD90" s="925"/>
      <c r="BE90" s="925"/>
      <c r="BF90" s="925"/>
      <c r="BG90" s="925"/>
      <c r="BH90" s="925"/>
      <c r="BI90" s="925"/>
      <c r="BJ90" s="925"/>
      <c r="BK90" s="925"/>
      <c r="BL90" s="925"/>
      <c r="BM90" s="925"/>
      <c r="BN90" s="925"/>
      <c r="BO90" s="925"/>
      <c r="BP90" s="496"/>
    </row>
    <row r="91" spans="5:73">
      <c r="E91" s="28"/>
      <c r="F91" s="28"/>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496"/>
      <c r="AQ91" s="496"/>
      <c r="AR91" s="496"/>
      <c r="AS91" s="496"/>
      <c r="AT91" s="925"/>
      <c r="AU91" s="925"/>
      <c r="AV91" s="925"/>
      <c r="AW91" s="925"/>
      <c r="AX91" s="925"/>
      <c r="AY91" s="925"/>
      <c r="AZ91" s="925"/>
      <c r="BA91" s="925"/>
      <c r="BB91" s="925"/>
      <c r="BC91" s="925"/>
      <c r="BD91" s="925"/>
      <c r="BE91" s="925"/>
      <c r="BF91" s="925"/>
      <c r="BG91" s="925"/>
      <c r="BH91" s="925"/>
      <c r="BI91" s="925"/>
      <c r="BJ91" s="925"/>
      <c r="BK91" s="925"/>
      <c r="BL91" s="925"/>
      <c r="BM91" s="925"/>
      <c r="BN91" s="925"/>
      <c r="BO91" s="925"/>
      <c r="BP91" s="496"/>
    </row>
    <row r="92" spans="5:73">
      <c r="E92" s="28"/>
      <c r="F92" s="28"/>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496"/>
      <c r="AQ92" s="496"/>
      <c r="AR92" s="496"/>
      <c r="AS92" s="496"/>
      <c r="AT92" s="925"/>
      <c r="AU92" s="925"/>
      <c r="AV92" s="925"/>
      <c r="AW92" s="925"/>
      <c r="AX92" s="925"/>
      <c r="AY92" s="925"/>
      <c r="AZ92" s="925"/>
      <c r="BA92" s="925"/>
      <c r="BB92" s="925"/>
      <c r="BC92" s="925"/>
      <c r="BD92" s="925"/>
      <c r="BE92" s="925"/>
      <c r="BF92" s="925"/>
      <c r="BG92" s="925"/>
      <c r="BH92" s="925"/>
      <c r="BI92" s="925"/>
      <c r="BJ92" s="925"/>
      <c r="BK92" s="925"/>
      <c r="BL92" s="925"/>
      <c r="BM92" s="925"/>
      <c r="BN92" s="925"/>
      <c r="BO92" s="925"/>
      <c r="BP92" s="496"/>
      <c r="BQ92" s="57"/>
      <c r="BR92" s="57"/>
      <c r="BS92" s="57"/>
      <c r="BT92" s="57"/>
      <c r="BU92" s="57"/>
    </row>
    <row r="93" spans="5:73">
      <c r="E93" s="28"/>
      <c r="F93" s="28"/>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496"/>
      <c r="AQ93" s="496"/>
      <c r="AR93" s="496"/>
      <c r="AS93" s="496"/>
      <c r="AT93" s="925"/>
      <c r="AU93" s="925"/>
      <c r="AV93" s="925" t="s">
        <v>627</v>
      </c>
      <c r="AW93" s="925">
        <f>IF($D$6="&lt;75",482,IF($D$6="76-150",752,IF($D$6="151-350",1193,IF($D$6="&gt;350",2323,0))))</f>
        <v>1193</v>
      </c>
      <c r="AX93" s="925"/>
      <c r="AY93" s="925"/>
      <c r="AZ93" s="925"/>
      <c r="BA93" s="925"/>
      <c r="BB93" s="925"/>
      <c r="BC93" s="925"/>
      <c r="BD93" s="925"/>
      <c r="BE93" s="925"/>
      <c r="BF93" s="925"/>
      <c r="BG93" s="925">
        <f>IF(B6="&lt;5",BF101,IF(B6="5 to 10",BF102,IF(B6="&gt;10",BF103,0)))</f>
        <v>0</v>
      </c>
      <c r="BH93" s="925"/>
      <c r="BI93" s="925"/>
      <c r="BJ93" s="925"/>
      <c r="BK93" s="925"/>
      <c r="BL93" s="925"/>
      <c r="BM93" s="925"/>
      <c r="BN93" s="925"/>
      <c r="BO93" s="925"/>
      <c r="BP93" s="496"/>
      <c r="BQ93" s="57"/>
      <c r="BR93" s="57"/>
      <c r="BS93" s="57"/>
      <c r="BT93" s="57"/>
      <c r="BU93" s="57"/>
    </row>
    <row r="94" spans="5:73">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496"/>
      <c r="AQ94" s="496"/>
      <c r="AR94" s="496"/>
      <c r="AS94" s="496"/>
      <c r="AT94" s="925"/>
      <c r="AU94" s="925"/>
      <c r="AV94" s="925" t="s">
        <v>628</v>
      </c>
      <c r="AW94" s="925">
        <f>IF($D$6="&lt;75",861,IF($D$6="76-150",861,IF($D$6="151-350",861,IF($D$6="&gt;350",2254,0))))</f>
        <v>861</v>
      </c>
      <c r="AX94" s="925" t="s">
        <v>655</v>
      </c>
      <c r="AY94" s="925">
        <f>IF($D$6="&lt;75",482,IF($D$6="76-150",752,IF($D$6="151-350",1193,IF($D$6="&gt;350",2323,0))))</f>
        <v>1193</v>
      </c>
      <c r="AZ94" s="925"/>
      <c r="BA94" s="925"/>
      <c r="BB94" s="925"/>
      <c r="BC94" s="925"/>
      <c r="BD94" s="925"/>
      <c r="BE94" s="925"/>
      <c r="BF94" s="925"/>
      <c r="BG94" s="925"/>
      <c r="BH94" s="925"/>
      <c r="BI94" s="925"/>
      <c r="BJ94" s="925"/>
      <c r="BK94" s="925"/>
      <c r="BL94" s="925"/>
      <c r="BM94" s="925"/>
      <c r="BN94" s="925"/>
      <c r="BO94" s="925"/>
      <c r="BP94" s="496"/>
      <c r="BQ94" s="57"/>
      <c r="BR94" s="57"/>
      <c r="BS94" s="57"/>
      <c r="BT94" s="57"/>
      <c r="BU94" s="57"/>
    </row>
    <row r="95" spans="5:73">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496"/>
      <c r="AQ95" s="496"/>
      <c r="AR95" s="496"/>
      <c r="AS95" s="496"/>
      <c r="AT95" s="925"/>
      <c r="AU95" s="925"/>
      <c r="AV95" s="925"/>
      <c r="AW95" s="925"/>
      <c r="AX95" s="925" t="s">
        <v>654</v>
      </c>
      <c r="AY95" s="925">
        <f>IF($D$6="&lt;75",410,IF($D$6="76-150",639,IF($D$6="151-350",1014,IF($D$6="&gt;350",1975,0))))</f>
        <v>1014</v>
      </c>
      <c r="AZ95" s="925"/>
      <c r="BA95" s="925"/>
      <c r="BB95" s="925"/>
      <c r="BC95" s="925"/>
      <c r="BD95" s="925"/>
      <c r="BE95" s="925"/>
      <c r="BF95" s="925"/>
      <c r="BG95" s="925"/>
      <c r="BH95" s="925"/>
      <c r="BI95" s="925"/>
      <c r="BJ95" s="925"/>
      <c r="BK95" s="925"/>
      <c r="BL95" s="925"/>
      <c r="BM95" s="925"/>
      <c r="BN95" s="925"/>
      <c r="BO95" s="925"/>
      <c r="BP95" s="496"/>
      <c r="BQ95" s="57"/>
      <c r="BR95" s="57"/>
      <c r="BS95" s="57"/>
      <c r="BT95" s="57"/>
      <c r="BU95" s="57"/>
    </row>
    <row r="96" spans="5:73">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496"/>
      <c r="AQ96" s="496"/>
      <c r="AR96" s="496"/>
      <c r="AS96" s="496"/>
      <c r="AT96" s="925"/>
      <c r="AU96" s="925"/>
      <c r="AV96" s="926"/>
      <c r="AW96" s="926"/>
      <c r="AX96" s="926"/>
      <c r="AY96" s="926"/>
      <c r="AZ96" s="926"/>
      <c r="BA96" s="926"/>
      <c r="BB96" s="926"/>
      <c r="BC96" s="926"/>
      <c r="BD96" s="926"/>
      <c r="BE96" s="926"/>
      <c r="BF96" s="926"/>
      <c r="BG96" s="926"/>
      <c r="BH96" s="926"/>
      <c r="BI96" s="926"/>
      <c r="BJ96" s="926"/>
      <c r="BK96" s="925"/>
      <c r="BL96" s="925"/>
      <c r="BM96" s="925"/>
      <c r="BN96" s="925"/>
      <c r="BO96" s="925"/>
      <c r="BP96" s="496"/>
      <c r="BQ96" s="57" t="s">
        <v>36</v>
      </c>
      <c r="BR96" s="57"/>
      <c r="BS96" s="57"/>
      <c r="BT96" s="57"/>
      <c r="BU96" s="57"/>
    </row>
    <row r="97" spans="13:73">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496"/>
      <c r="AQ97" s="496"/>
      <c r="AR97" s="496"/>
      <c r="AS97" s="496"/>
      <c r="AT97" s="925"/>
      <c r="AU97" s="925"/>
      <c r="AV97" s="926"/>
      <c r="AW97" s="926"/>
      <c r="AX97" s="926"/>
      <c r="AY97" s="926"/>
      <c r="AZ97" s="926"/>
      <c r="BA97" s="926"/>
      <c r="BB97" s="926"/>
      <c r="BC97" s="926"/>
      <c r="BD97" s="926"/>
      <c r="BE97" s="926"/>
      <c r="BF97" s="926"/>
      <c r="BG97" s="926"/>
      <c r="BH97" s="926"/>
      <c r="BI97" s="926"/>
      <c r="BJ97" s="926"/>
      <c r="BK97" s="925"/>
      <c r="BL97" s="925"/>
      <c r="BM97" s="925"/>
      <c r="BN97" s="925"/>
      <c r="BO97" s="925"/>
      <c r="BP97" s="496"/>
      <c r="BQ97" s="57"/>
      <c r="BR97" s="57"/>
      <c r="BS97" s="57"/>
      <c r="BT97" s="57"/>
      <c r="BU97" s="57"/>
    </row>
    <row r="98" spans="13:73">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496"/>
      <c r="AQ98" s="496"/>
      <c r="AR98" s="496"/>
      <c r="AS98" s="496"/>
      <c r="AT98" s="925"/>
      <c r="AU98" s="925"/>
      <c r="AV98" s="926"/>
      <c r="AW98" s="926"/>
      <c r="AX98" s="926"/>
      <c r="AY98" s="926"/>
      <c r="AZ98" s="926"/>
      <c r="BA98" s="926"/>
      <c r="BB98" s="926"/>
      <c r="BC98" s="926"/>
      <c r="BD98" s="926"/>
      <c r="BE98" s="926"/>
      <c r="BF98" s="926"/>
      <c r="BG98" s="926"/>
      <c r="BH98" s="926"/>
      <c r="BI98" s="926"/>
      <c r="BJ98" s="926"/>
      <c r="BK98" s="925"/>
      <c r="BL98" s="925"/>
      <c r="BM98" s="925"/>
      <c r="BN98" s="925"/>
      <c r="BO98" s="925"/>
      <c r="BP98" s="496"/>
      <c r="BQ98" s="57"/>
      <c r="BR98" s="57"/>
      <c r="BS98" s="57"/>
      <c r="BT98" s="57"/>
      <c r="BU98" s="57"/>
    </row>
    <row r="99" spans="13:73">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496"/>
      <c r="AQ99" s="496"/>
      <c r="AR99" s="496"/>
      <c r="AS99" s="496"/>
      <c r="AT99" s="925"/>
      <c r="AU99" s="925"/>
      <c r="AV99" s="926"/>
      <c r="AW99" s="926"/>
      <c r="AX99" s="926"/>
      <c r="AY99" s="926"/>
      <c r="AZ99" s="926"/>
      <c r="BA99" s="926"/>
      <c r="BB99" s="926"/>
      <c r="BC99" s="926"/>
      <c r="BD99" s="926"/>
      <c r="BE99" s="926"/>
      <c r="BF99" s="926"/>
      <c r="BG99" s="976" t="s">
        <v>37</v>
      </c>
      <c r="BH99" s="976"/>
      <c r="BI99" s="976"/>
      <c r="BJ99" s="976"/>
      <c r="BK99" s="925"/>
      <c r="BL99" s="925"/>
      <c r="BM99" s="925"/>
      <c r="BN99" s="925"/>
      <c r="BO99" s="925"/>
      <c r="BP99" s="496"/>
      <c r="BQ99" s="57"/>
      <c r="BR99" s="57"/>
      <c r="BS99" s="57"/>
      <c r="BT99" s="57"/>
      <c r="BU99" s="57"/>
    </row>
    <row r="100" spans="13:73">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496"/>
      <c r="AQ100" s="496"/>
      <c r="AR100" s="496"/>
      <c r="AS100" s="496"/>
      <c r="AT100" s="925"/>
      <c r="AU100" s="925"/>
      <c r="AV100" s="925" t="s">
        <v>559</v>
      </c>
      <c r="AW100" s="927" t="s">
        <v>556</v>
      </c>
      <c r="AX100" s="926" t="s">
        <v>87</v>
      </c>
      <c r="AY100" s="976" t="s">
        <v>38</v>
      </c>
      <c r="AZ100" s="976"/>
      <c r="BA100" s="926" t="s">
        <v>12</v>
      </c>
      <c r="BB100" s="926" t="s">
        <v>39</v>
      </c>
      <c r="BC100" s="926" t="s">
        <v>40</v>
      </c>
      <c r="BD100" s="926" t="s">
        <v>41</v>
      </c>
      <c r="BE100" s="926" t="s">
        <v>42</v>
      </c>
      <c r="BF100" s="926"/>
      <c r="BG100" s="926" t="s">
        <v>43</v>
      </c>
      <c r="BH100" s="926" t="s">
        <v>19</v>
      </c>
      <c r="BI100" s="926" t="s">
        <v>44</v>
      </c>
      <c r="BJ100" s="926" t="s">
        <v>45</v>
      </c>
      <c r="BK100" s="925"/>
      <c r="BL100" s="925"/>
      <c r="BM100" s="925"/>
      <c r="BN100" s="925"/>
      <c r="BO100" s="925"/>
      <c r="BP100" s="496"/>
      <c r="BQ100" s="57"/>
      <c r="BR100" s="57"/>
      <c r="BS100" s="57"/>
      <c r="BT100" s="57"/>
      <c r="BU100" s="57"/>
    </row>
    <row r="101" spans="13:73">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496"/>
      <c r="AQ101" s="496"/>
      <c r="AR101" s="496"/>
      <c r="AS101" s="496"/>
      <c r="AT101" s="925"/>
      <c r="AU101" s="925"/>
      <c r="AV101" s="926" t="str">
        <f>IF(B3="Package Policy","age_Pack_Tw","agetw_enh")</f>
        <v>agetw_enh</v>
      </c>
      <c r="AW101" s="926" t="s">
        <v>17</v>
      </c>
      <c r="AX101" s="926" t="s">
        <v>84</v>
      </c>
      <c r="AY101" s="926" t="s">
        <v>46</v>
      </c>
      <c r="AZ101" s="926">
        <f>IF(OR(D6="&lt;75",D6="76-150"),1.708,IF(D6="151-350",1.793,IF(D6="&gt;350",1.879,0)))</f>
        <v>1.7929999999999999</v>
      </c>
      <c r="BA101" s="926">
        <v>0</v>
      </c>
      <c r="BB101" s="926" t="s">
        <v>37</v>
      </c>
      <c r="BC101" s="926" t="s">
        <v>37</v>
      </c>
      <c r="BD101" s="926" t="s">
        <v>47</v>
      </c>
      <c r="BE101" s="926" t="s">
        <v>14</v>
      </c>
      <c r="BF101" s="926" t="s">
        <v>17</v>
      </c>
      <c r="BG101" s="926">
        <v>1.708</v>
      </c>
      <c r="BH101" s="926">
        <v>1.708</v>
      </c>
      <c r="BI101" s="926">
        <v>1.7930000000000001</v>
      </c>
      <c r="BJ101" s="926">
        <v>1.879</v>
      </c>
      <c r="BK101" s="925"/>
      <c r="BL101" s="925"/>
      <c r="BM101" s="925"/>
      <c r="BN101" s="925" t="s">
        <v>17</v>
      </c>
      <c r="BO101" s="925"/>
      <c r="BP101" s="496"/>
      <c r="BQ101" s="57"/>
      <c r="BR101" s="57"/>
      <c r="BS101" s="57"/>
      <c r="BT101" s="57"/>
      <c r="BU101" s="57"/>
    </row>
    <row r="102" spans="13:73">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496"/>
      <c r="AQ102" s="496"/>
      <c r="AR102" s="496"/>
      <c r="AS102" s="496"/>
      <c r="AT102" s="925"/>
      <c r="AU102" s="925"/>
      <c r="AV102" s="926"/>
      <c r="AW102" s="926" t="s">
        <v>51</v>
      </c>
      <c r="AX102" s="926" t="s">
        <v>336</v>
      </c>
      <c r="AY102" s="926" t="s">
        <v>48</v>
      </c>
      <c r="AZ102" s="926">
        <f>IF(OR(D6="&lt;75",D6="76-150"),1.676,IF(D6="151-350",1.76,IF(D6="&gt;350",1.844,0)))</f>
        <v>1.76</v>
      </c>
      <c r="BA102" s="926">
        <v>20</v>
      </c>
      <c r="BB102" s="926" t="s">
        <v>49</v>
      </c>
      <c r="BC102" s="926" t="s">
        <v>49</v>
      </c>
      <c r="BD102" s="926" t="s">
        <v>19</v>
      </c>
      <c r="BE102" s="926" t="s">
        <v>50</v>
      </c>
      <c r="BF102" s="926" t="s">
        <v>51</v>
      </c>
      <c r="BG102" s="926">
        <v>1.7930000000000001</v>
      </c>
      <c r="BH102" s="926">
        <v>1.7930000000000001</v>
      </c>
      <c r="BI102" s="926">
        <v>1.883</v>
      </c>
      <c r="BJ102" s="926">
        <v>1.9729999999999999</v>
      </c>
      <c r="BK102" s="925"/>
      <c r="BL102" s="925"/>
      <c r="BM102" s="925"/>
      <c r="BN102" s="925" t="s">
        <v>51</v>
      </c>
      <c r="BO102" s="925"/>
      <c r="BP102" s="496"/>
      <c r="BQ102" s="57"/>
      <c r="BR102" s="57"/>
      <c r="BS102" s="57"/>
      <c r="BT102" s="57"/>
      <c r="BU102" s="57"/>
    </row>
    <row r="103" spans="13:73">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496"/>
      <c r="AQ103" s="496"/>
      <c r="AR103" s="496"/>
      <c r="AS103" s="496"/>
      <c r="AT103" s="925"/>
      <c r="AU103" s="925"/>
      <c r="AV103" s="926"/>
      <c r="AW103" s="926" t="s">
        <v>53</v>
      </c>
      <c r="AX103" s="926" t="s">
        <v>337</v>
      </c>
      <c r="AY103" s="926" t="s">
        <v>562</v>
      </c>
      <c r="AZ103" s="925">
        <f>IF(BG93=0,AZ101,IF(D6="&lt;75",VLOOKUP(BG93,BF100:BJ103,3),IF(D6="76-150",VLOOKUP(BG93,BF100:BJ103,3),IF(D6="151-350",VLOOKUP(BG93,BF100:BJ103,4),IF(D6="&gt;350",VLOOKUP(BG93,BF100:BJ103,5),0)))))</f>
        <v>1.7929999999999999</v>
      </c>
      <c r="BA103" s="926">
        <v>25</v>
      </c>
      <c r="BB103" s="926" t="s">
        <v>52</v>
      </c>
      <c r="BC103" s="926"/>
      <c r="BD103" s="926" t="s">
        <v>44</v>
      </c>
      <c r="BE103" s="926"/>
      <c r="BF103" s="926">
        <v>10.1</v>
      </c>
      <c r="BG103" s="926">
        <v>1.8359999999999999</v>
      </c>
      <c r="BH103" s="926">
        <v>1.8359999999999999</v>
      </c>
      <c r="BI103" s="926">
        <v>1.9279999999999999</v>
      </c>
      <c r="BJ103" s="926">
        <v>2.02</v>
      </c>
      <c r="BK103" s="925"/>
      <c r="BL103" s="925"/>
      <c r="BM103" s="925"/>
      <c r="BN103" s="925" t="s">
        <v>53</v>
      </c>
      <c r="BO103" s="925"/>
      <c r="BP103" s="496"/>
      <c r="BQ103" s="57"/>
      <c r="BR103" s="57"/>
      <c r="BS103" s="57"/>
      <c r="BT103" s="57"/>
      <c r="BU103" s="57"/>
    </row>
    <row r="104" spans="13:73">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496"/>
      <c r="AQ104" s="496"/>
      <c r="AR104" s="496"/>
      <c r="AS104" s="496"/>
      <c r="AT104" s="925"/>
      <c r="AU104" s="925"/>
      <c r="AV104" s="926"/>
      <c r="AW104" s="926"/>
      <c r="AX104" s="926" t="s">
        <v>408</v>
      </c>
      <c r="AY104" s="926" t="s">
        <v>563</v>
      </c>
      <c r="AZ104" s="925">
        <f>IF(BG93=0,AZ102,IF(D6="&lt;75",VLOOKUP(BG93,BF106:BJ109,3),IF(D6="76-150",VLOOKUP(BG93,BF106:BJ109,3),IF(D6="151-350",VLOOKUP(BG93,BF106:BJ109,4),IF(D6="&gt;350",VLOOKUP(BG93,BF106:BJ109,5),0)))))</f>
        <v>1.76</v>
      </c>
      <c r="BA104" s="926">
        <v>35</v>
      </c>
      <c r="BB104" s="926"/>
      <c r="BC104" s="926"/>
      <c r="BD104" s="926" t="s">
        <v>45</v>
      </c>
      <c r="BE104" s="926"/>
      <c r="BF104" s="926"/>
      <c r="BG104" s="926"/>
      <c r="BH104" s="926"/>
      <c r="BI104" s="926"/>
      <c r="BJ104" s="926"/>
      <c r="BK104" s="925"/>
      <c r="BL104" s="925"/>
      <c r="BM104" s="925"/>
      <c r="BN104" s="925"/>
      <c r="BO104" s="925"/>
      <c r="BP104" s="496"/>
      <c r="BQ104" s="57"/>
      <c r="BR104" s="57"/>
      <c r="BS104" s="57"/>
      <c r="BT104" s="57"/>
      <c r="BU104" s="57"/>
    </row>
    <row r="105" spans="13:73">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496"/>
      <c r="AQ105" s="496"/>
      <c r="AR105" s="496"/>
      <c r="AS105" s="496"/>
      <c r="AT105" s="925"/>
      <c r="AU105" s="925"/>
      <c r="AV105" s="926"/>
      <c r="AW105" s="926"/>
      <c r="AX105" s="926" t="s">
        <v>339</v>
      </c>
      <c r="AY105" s="926" t="s">
        <v>564</v>
      </c>
      <c r="AZ105" s="926">
        <f>IF(B5="Zone A",AZ101,AZ102)</f>
        <v>1.7929999999999999</v>
      </c>
      <c r="BA105" s="926">
        <v>45</v>
      </c>
      <c r="BB105" s="926"/>
      <c r="BC105" s="926"/>
      <c r="BD105" s="926"/>
      <c r="BE105" s="926"/>
      <c r="BF105" s="926"/>
      <c r="BG105" s="976" t="s">
        <v>49</v>
      </c>
      <c r="BH105" s="976"/>
      <c r="BI105" s="976"/>
      <c r="BJ105" s="976"/>
      <c r="BK105" s="925"/>
      <c r="BL105" s="925"/>
      <c r="BM105" s="925"/>
      <c r="BN105" s="925"/>
      <c r="BO105" s="925"/>
      <c r="BP105" s="496"/>
      <c r="BQ105" s="57"/>
      <c r="BR105" s="57"/>
      <c r="BS105" s="57"/>
      <c r="BT105" s="57"/>
      <c r="BU105" s="57"/>
    </row>
    <row r="106" spans="13:73">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496"/>
      <c r="AQ106" s="496"/>
      <c r="AR106" s="496"/>
      <c r="AS106" s="496"/>
      <c r="AT106" s="925"/>
      <c r="AU106" s="925"/>
      <c r="AV106" s="926"/>
      <c r="AW106" s="926"/>
      <c r="AX106" s="926" t="s">
        <v>51</v>
      </c>
      <c r="AY106" s="926" t="s">
        <v>565</v>
      </c>
      <c r="AZ106" s="926">
        <f>IF(B5="Zone A",AZ103,AZ104)</f>
        <v>1.7929999999999999</v>
      </c>
      <c r="BA106" s="926">
        <v>50</v>
      </c>
      <c r="BB106" s="926"/>
      <c r="BC106" s="926"/>
      <c r="BD106" s="926"/>
      <c r="BE106" s="926"/>
      <c r="BF106" s="926"/>
      <c r="BG106" s="926" t="s">
        <v>47</v>
      </c>
      <c r="BH106" s="926" t="s">
        <v>19</v>
      </c>
      <c r="BI106" s="926" t="s">
        <v>44</v>
      </c>
      <c r="BJ106" s="926" t="s">
        <v>45</v>
      </c>
      <c r="BK106" s="925"/>
      <c r="BL106" s="925"/>
      <c r="BM106" s="925"/>
      <c r="BN106" s="925"/>
      <c r="BO106" s="925"/>
      <c r="BP106" s="851"/>
      <c r="BQ106" s="57"/>
      <c r="BR106" s="57"/>
      <c r="BS106" s="57"/>
      <c r="BT106" s="57"/>
      <c r="BU106" s="57"/>
    </row>
    <row r="107" spans="13:73">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496"/>
      <c r="AQ107" s="496"/>
      <c r="AR107" s="496"/>
      <c r="AS107" s="496"/>
      <c r="AT107" s="925"/>
      <c r="AU107" s="925"/>
      <c r="AV107" s="926"/>
      <c r="AW107" s="926"/>
      <c r="AX107" s="926" t="s">
        <v>53</v>
      </c>
      <c r="AY107" s="926"/>
      <c r="AZ107" s="926"/>
      <c r="BA107" s="926"/>
      <c r="BB107" s="926"/>
      <c r="BC107" s="926"/>
      <c r="BD107" s="926"/>
      <c r="BE107" s="926"/>
      <c r="BF107" s="926" t="s">
        <v>17</v>
      </c>
      <c r="BG107" s="926">
        <v>1.6760000000000002</v>
      </c>
      <c r="BH107" s="926">
        <v>1.6760000000000002</v>
      </c>
      <c r="BI107" s="926">
        <v>1.76</v>
      </c>
      <c r="BJ107" s="926">
        <v>1.8439999999999999</v>
      </c>
      <c r="BK107" s="925"/>
      <c r="BL107" s="925"/>
      <c r="BM107" s="925"/>
      <c r="BN107" s="928"/>
      <c r="BO107" s="928"/>
      <c r="BP107" s="850"/>
      <c r="BQ107" s="54"/>
      <c r="BR107" s="57"/>
      <c r="BS107" s="57"/>
      <c r="BT107" s="57"/>
      <c r="BU107" s="57"/>
    </row>
    <row r="108" spans="13:73">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496"/>
      <c r="AQ108" s="496"/>
      <c r="AR108" s="496"/>
      <c r="AS108" s="496"/>
      <c r="AT108" s="925"/>
      <c r="AU108" s="925"/>
      <c r="AV108" s="926"/>
      <c r="AW108" s="926"/>
      <c r="AX108" s="926" t="s">
        <v>554</v>
      </c>
      <c r="AY108" s="926" t="s">
        <v>555</v>
      </c>
      <c r="AZ108" s="926"/>
      <c r="BA108" s="926"/>
      <c r="BB108" s="926"/>
      <c r="BC108" s="926"/>
      <c r="BD108" s="926"/>
      <c r="BE108" s="926"/>
      <c r="BF108" s="926" t="s">
        <v>51</v>
      </c>
      <c r="BG108" s="926">
        <v>1.76</v>
      </c>
      <c r="BH108" s="926">
        <v>1.76</v>
      </c>
      <c r="BI108" s="926">
        <v>1.8479999999999999</v>
      </c>
      <c r="BJ108" s="926">
        <v>1.9359999999999999</v>
      </c>
      <c r="BK108" s="925"/>
      <c r="BL108" s="925"/>
      <c r="BM108" s="925"/>
      <c r="BN108" s="928"/>
      <c r="BO108" s="928"/>
      <c r="BP108" s="850"/>
      <c r="BQ108" s="54"/>
      <c r="BR108" s="57"/>
      <c r="BS108" s="57"/>
      <c r="BT108" s="57"/>
      <c r="BU108" s="57"/>
    </row>
    <row r="109" spans="13:73">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496"/>
      <c r="AQ109" s="496"/>
      <c r="AR109" s="496"/>
      <c r="AS109" s="496"/>
      <c r="AT109" s="925"/>
      <c r="AU109" s="925"/>
      <c r="AV109" s="926"/>
      <c r="AW109" s="926"/>
      <c r="AX109" s="925"/>
      <c r="AY109" s="926" t="s">
        <v>84</v>
      </c>
      <c r="AZ109" s="926"/>
      <c r="BA109" s="926"/>
      <c r="BB109" s="926"/>
      <c r="BC109" s="926"/>
      <c r="BD109" s="926"/>
      <c r="BE109" s="926"/>
      <c r="BF109" s="926">
        <v>10.1</v>
      </c>
      <c r="BG109" s="926">
        <v>1.802</v>
      </c>
      <c r="BH109" s="926">
        <v>1.802</v>
      </c>
      <c r="BI109" s="926">
        <v>1.8919999999999999</v>
      </c>
      <c r="BJ109" s="926">
        <v>1.982</v>
      </c>
      <c r="BK109" s="925"/>
      <c r="BL109" s="925"/>
      <c r="BM109" s="925"/>
      <c r="BN109" s="928"/>
      <c r="BO109" s="928"/>
      <c r="BP109" s="850"/>
      <c r="BQ109" s="54"/>
      <c r="BR109" s="57"/>
      <c r="BS109" s="57"/>
      <c r="BT109" s="57"/>
      <c r="BU109" s="57"/>
    </row>
    <row r="110" spans="13:73">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496"/>
      <c r="AQ110" s="496"/>
      <c r="AR110" s="496"/>
      <c r="AS110" s="496"/>
      <c r="AT110" s="925"/>
      <c r="AU110" s="925"/>
      <c r="AV110" s="926"/>
      <c r="AW110" s="974" t="s">
        <v>602</v>
      </c>
      <c r="AX110" s="974"/>
      <c r="AY110" s="926" t="s">
        <v>336</v>
      </c>
      <c r="AZ110" s="926"/>
      <c r="BA110" s="926"/>
      <c r="BB110" s="926"/>
      <c r="BC110" s="926"/>
      <c r="BD110" s="926"/>
      <c r="BE110" s="926"/>
      <c r="BF110" s="926"/>
      <c r="BG110" s="926"/>
      <c r="BH110" s="926"/>
      <c r="BI110" s="926"/>
      <c r="BJ110" s="926"/>
      <c r="BK110" s="925"/>
      <c r="BL110" s="925"/>
      <c r="BM110" s="925"/>
      <c r="BN110" s="925"/>
      <c r="BO110" s="925"/>
      <c r="BP110" s="496"/>
      <c r="BQ110" s="57"/>
      <c r="BR110" s="57"/>
      <c r="BS110" s="57"/>
      <c r="BT110" s="57"/>
      <c r="BU110" s="57"/>
    </row>
    <row r="111" spans="13:73">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496"/>
      <c r="AQ111" s="496"/>
      <c r="AR111" s="496"/>
      <c r="AS111" s="496"/>
      <c r="AT111" s="496"/>
      <c r="AU111" s="496"/>
      <c r="AV111" s="871"/>
      <c r="AW111" s="871" t="s">
        <v>453</v>
      </c>
      <c r="AX111" s="496" t="s">
        <v>603</v>
      </c>
      <c r="AY111" s="871" t="s">
        <v>337</v>
      </c>
      <c r="AZ111" s="871"/>
      <c r="BA111" s="871"/>
      <c r="BB111" s="871"/>
      <c r="BC111" s="871"/>
      <c r="BD111" s="871"/>
      <c r="BE111" s="871"/>
      <c r="BF111" s="871"/>
      <c r="BG111" s="871"/>
      <c r="BH111" s="871"/>
      <c r="BI111" s="871"/>
      <c r="BJ111" s="871"/>
      <c r="BK111" s="496"/>
      <c r="BL111" s="496"/>
      <c r="BM111" s="496"/>
      <c r="BN111" s="496"/>
      <c r="BO111" s="496"/>
      <c r="BP111" s="496"/>
      <c r="BQ111" s="57"/>
      <c r="BR111" s="57"/>
      <c r="BS111" s="57"/>
      <c r="BT111" s="57"/>
      <c r="BU111" s="57"/>
    </row>
    <row r="112" spans="13:73">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496"/>
      <c r="AQ112" s="496"/>
      <c r="AR112" s="496"/>
      <c r="AS112" s="496"/>
      <c r="AT112" s="496"/>
      <c r="AU112" s="496"/>
      <c r="AV112" s="871"/>
      <c r="AW112" s="871">
        <v>0</v>
      </c>
      <c r="AX112" s="871">
        <v>5</v>
      </c>
      <c r="AY112" s="871" t="s">
        <v>408</v>
      </c>
      <c r="AZ112" s="871"/>
      <c r="BA112" s="871"/>
      <c r="BB112" s="871"/>
      <c r="BC112" s="871"/>
      <c r="BD112" s="871"/>
      <c r="BE112" s="871"/>
      <c r="BF112" s="871"/>
      <c r="BG112" s="871"/>
      <c r="BH112" s="871"/>
      <c r="BI112" s="871"/>
      <c r="BJ112" s="871"/>
      <c r="BK112" s="496"/>
      <c r="BL112" s="496"/>
      <c r="BM112" s="496"/>
      <c r="BN112" s="496"/>
      <c r="BO112" s="496"/>
      <c r="BP112" s="496"/>
      <c r="BQ112" s="57"/>
      <c r="BR112" s="57"/>
      <c r="BS112" s="57"/>
      <c r="BT112" s="57"/>
      <c r="BU112" s="57"/>
    </row>
    <row r="113" spans="13:73">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496"/>
      <c r="AQ113" s="496"/>
      <c r="AR113" s="496"/>
      <c r="AS113" s="496"/>
      <c r="AT113" s="496"/>
      <c r="AU113" s="496"/>
      <c r="AV113" s="871"/>
      <c r="AW113" s="871">
        <v>20</v>
      </c>
      <c r="AX113" s="871">
        <v>7.5</v>
      </c>
      <c r="AY113" s="871" t="s">
        <v>339</v>
      </c>
      <c r="AZ113" s="871"/>
      <c r="BA113" s="871"/>
      <c r="BB113" s="871"/>
      <c r="BC113" s="871"/>
      <c r="BD113" s="871"/>
      <c r="BE113" s="871"/>
      <c r="BF113" s="871"/>
      <c r="BG113" s="871"/>
      <c r="BH113" s="871"/>
      <c r="BI113" s="871"/>
      <c r="BJ113" s="871"/>
      <c r="BK113" s="496"/>
      <c r="BL113" s="496"/>
      <c r="BM113" s="496"/>
      <c r="BN113" s="496"/>
      <c r="BO113" s="496"/>
      <c r="BP113" s="496"/>
      <c r="BQ113" s="57"/>
      <c r="BR113" s="57"/>
      <c r="BS113" s="57"/>
      <c r="BT113" s="57"/>
      <c r="BU113" s="57"/>
    </row>
    <row r="114" spans="13:73">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496"/>
      <c r="AQ114" s="496"/>
      <c r="AR114" s="496"/>
      <c r="AS114" s="496"/>
      <c r="AT114" s="496"/>
      <c r="AU114" s="496"/>
      <c r="AV114" s="871"/>
      <c r="AW114" s="871">
        <v>25</v>
      </c>
      <c r="AX114" s="871">
        <v>10</v>
      </c>
      <c r="AY114" s="871"/>
      <c r="AZ114" s="871"/>
      <c r="BA114" s="871"/>
      <c r="BB114" s="871"/>
      <c r="BC114" s="871"/>
      <c r="BD114" s="871"/>
      <c r="BE114" s="871"/>
      <c r="BF114" s="871"/>
      <c r="BG114" s="871"/>
      <c r="BH114" s="871"/>
      <c r="BI114" s="871"/>
      <c r="BJ114" s="871"/>
      <c r="BK114" s="496"/>
      <c r="BL114" s="496"/>
      <c r="BM114" s="496"/>
      <c r="BN114" s="496"/>
      <c r="BO114" s="496"/>
      <c r="BP114" s="496"/>
      <c r="BQ114" s="57"/>
      <c r="BR114" s="57"/>
      <c r="BS114" s="57"/>
      <c r="BT114" s="57"/>
      <c r="BU114" s="57"/>
    </row>
    <row r="115" spans="13:73">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496"/>
      <c r="AQ115" s="496"/>
      <c r="AR115" s="496"/>
      <c r="AS115" s="496"/>
      <c r="AT115" s="496"/>
      <c r="AU115" s="496"/>
      <c r="AV115" s="871"/>
      <c r="AW115" s="871">
        <v>35</v>
      </c>
      <c r="AX115" s="871">
        <v>12.5</v>
      </c>
      <c r="AY115" s="871"/>
      <c r="AZ115" s="871"/>
      <c r="BA115" s="871"/>
      <c r="BB115" s="871"/>
      <c r="BC115" s="871"/>
      <c r="BD115" s="871"/>
      <c r="BE115" s="871"/>
      <c r="BF115" s="871"/>
      <c r="BG115" s="871"/>
      <c r="BH115" s="871"/>
      <c r="BI115" s="871"/>
      <c r="BJ115" s="871"/>
      <c r="BK115" s="496"/>
      <c r="BL115" s="496"/>
      <c r="BM115" s="496"/>
      <c r="BN115" s="496"/>
      <c r="BO115" s="496"/>
      <c r="BP115" s="496"/>
      <c r="BQ115" s="57"/>
      <c r="BR115" s="57"/>
      <c r="BS115" s="57"/>
      <c r="BT115" s="57"/>
      <c r="BU115" s="57"/>
    </row>
    <row r="116" spans="13:73">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496"/>
      <c r="AQ116" s="496"/>
      <c r="AR116" s="496"/>
      <c r="AS116" s="496"/>
      <c r="AT116" s="496"/>
      <c r="AU116" s="496"/>
      <c r="AV116" s="871"/>
      <c r="AW116" s="871">
        <v>45</v>
      </c>
      <c r="AX116" s="871">
        <v>15</v>
      </c>
      <c r="AY116" s="871"/>
      <c r="AZ116" s="871"/>
      <c r="BA116" s="871"/>
      <c r="BB116" s="871"/>
      <c r="BC116" s="871"/>
      <c r="BD116" s="871"/>
      <c r="BE116" s="871"/>
      <c r="BF116" s="871"/>
      <c r="BG116" s="871"/>
      <c r="BH116" s="871"/>
      <c r="BI116" s="871"/>
      <c r="BJ116" s="871"/>
      <c r="BK116" s="496"/>
      <c r="BL116" s="496"/>
      <c r="BM116" s="496"/>
      <c r="BN116" s="496"/>
      <c r="BO116" s="496"/>
      <c r="BP116" s="496"/>
      <c r="BQ116" s="57"/>
      <c r="BR116" s="57"/>
      <c r="BS116" s="57"/>
      <c r="BT116" s="57"/>
      <c r="BU116" s="57"/>
    </row>
    <row r="117" spans="13:73">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496"/>
      <c r="AQ117" s="496"/>
      <c r="AR117" s="496"/>
      <c r="AS117" s="496"/>
      <c r="AT117" s="496"/>
      <c r="AU117" s="496"/>
      <c r="AV117" s="496"/>
      <c r="AW117" s="496">
        <v>50</v>
      </c>
      <c r="AX117" s="496">
        <v>15</v>
      </c>
      <c r="AY117" s="496"/>
      <c r="AZ117" s="496"/>
      <c r="BA117" s="496"/>
      <c r="BB117" s="496"/>
      <c r="BC117" s="496"/>
      <c r="BD117" s="496"/>
      <c r="BE117" s="496"/>
      <c r="BF117" s="496"/>
      <c r="BG117" s="496"/>
      <c r="BH117" s="496"/>
      <c r="BI117" s="496"/>
      <c r="BJ117" s="496"/>
      <c r="BK117" s="496"/>
      <c r="BL117" s="496"/>
      <c r="BM117" s="496"/>
      <c r="BN117" s="496"/>
      <c r="BO117" s="496"/>
      <c r="BP117" s="496"/>
      <c r="BQ117" s="57"/>
      <c r="BR117" s="57"/>
      <c r="BS117" s="57"/>
      <c r="BT117" s="57"/>
      <c r="BU117" s="57"/>
    </row>
    <row r="118" spans="13:73">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496"/>
      <c r="AQ118" s="496"/>
      <c r="AR118" s="496"/>
      <c r="AS118" s="496"/>
      <c r="AT118" s="496"/>
      <c r="AU118" s="496"/>
      <c r="AV118" s="496"/>
      <c r="AW118" s="975" t="s">
        <v>604</v>
      </c>
      <c r="AX118" s="975"/>
      <c r="AY118" s="496" t="s">
        <v>609</v>
      </c>
      <c r="AZ118" s="496"/>
      <c r="BA118" s="496"/>
      <c r="BB118" s="496"/>
      <c r="BC118" s="496"/>
      <c r="BD118" s="496"/>
      <c r="BE118" s="496"/>
      <c r="BF118" s="496"/>
      <c r="BG118" s="496"/>
      <c r="BH118" s="977" t="s">
        <v>37</v>
      </c>
      <c r="BI118" s="977"/>
      <c r="BJ118" s="977"/>
      <c r="BK118" s="977"/>
      <c r="BL118" s="496"/>
      <c r="BM118" s="496"/>
      <c r="BN118" s="496"/>
      <c r="BO118" s="496"/>
      <c r="BP118" s="496"/>
      <c r="BQ118" s="57"/>
      <c r="BR118" s="57"/>
      <c r="BS118" s="57"/>
      <c r="BT118" s="57"/>
      <c r="BU118" s="57"/>
    </row>
    <row r="119" spans="13:73">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496"/>
      <c r="AQ119" s="496"/>
      <c r="AR119" s="496"/>
      <c r="AS119" s="496"/>
      <c r="AT119" s="496"/>
      <c r="AU119" s="496"/>
      <c r="AV119" s="496"/>
      <c r="AW119" s="871" t="s">
        <v>84</v>
      </c>
      <c r="AX119" s="496">
        <v>0.11</v>
      </c>
      <c r="AY119" s="496">
        <v>9.1999999999999998E-2</v>
      </c>
      <c r="AZ119" s="978" t="s">
        <v>38</v>
      </c>
      <c r="BA119" s="978"/>
      <c r="BB119" s="496" t="s">
        <v>12</v>
      </c>
      <c r="BC119" s="496" t="s">
        <v>39</v>
      </c>
      <c r="BD119" s="496" t="s">
        <v>40</v>
      </c>
      <c r="BE119" s="496" t="s">
        <v>41</v>
      </c>
      <c r="BF119" s="496" t="s">
        <v>42</v>
      </c>
      <c r="BG119" s="496"/>
      <c r="BH119" s="496" t="s">
        <v>43</v>
      </c>
      <c r="BI119" s="496" t="s">
        <v>19</v>
      </c>
      <c r="BJ119" s="851" t="s">
        <v>44</v>
      </c>
      <c r="BK119" s="496" t="s">
        <v>45</v>
      </c>
      <c r="BL119" s="496"/>
      <c r="BM119" s="496"/>
      <c r="BN119" s="496"/>
      <c r="BO119" s="496"/>
      <c r="BP119" s="496"/>
    </row>
    <row r="120" spans="13:73">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496"/>
      <c r="AQ120" s="496"/>
      <c r="AR120" s="496"/>
      <c r="AS120" s="496"/>
      <c r="AT120" s="496"/>
      <c r="AU120" s="496"/>
      <c r="AV120" s="496"/>
      <c r="AW120" s="871" t="s">
        <v>336</v>
      </c>
      <c r="AX120" s="496">
        <v>0.13</v>
      </c>
      <c r="AY120" s="496">
        <v>0.104</v>
      </c>
      <c r="AZ120" s="496" t="s">
        <v>46</v>
      </c>
      <c r="BA120" s="496"/>
      <c r="BB120" s="496">
        <v>0</v>
      </c>
      <c r="BC120" s="496" t="s">
        <v>37</v>
      </c>
      <c r="BD120" s="496" t="s">
        <v>37</v>
      </c>
      <c r="BE120" s="496" t="s">
        <v>47</v>
      </c>
      <c r="BF120" s="496" t="s">
        <v>14</v>
      </c>
      <c r="BG120" s="496" t="s">
        <v>17</v>
      </c>
      <c r="BH120" s="850">
        <v>1.708</v>
      </c>
      <c r="BI120" s="850">
        <v>1.708</v>
      </c>
      <c r="BJ120" s="850">
        <v>1.7930000000000001</v>
      </c>
      <c r="BK120" s="850">
        <v>1.879</v>
      </c>
      <c r="BL120" s="496"/>
      <c r="BM120" s="496"/>
      <c r="BN120" s="496"/>
      <c r="BO120" s="496"/>
      <c r="BP120" s="496"/>
    </row>
    <row r="121" spans="13:73">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496"/>
      <c r="AQ121" s="496"/>
      <c r="AR121" s="496"/>
      <c r="AS121" s="496"/>
      <c r="AT121" s="496"/>
      <c r="AU121" s="496"/>
      <c r="AV121" s="496"/>
      <c r="AW121" s="871" t="s">
        <v>337</v>
      </c>
      <c r="AX121" s="496">
        <v>0.15</v>
      </c>
      <c r="AY121" s="496">
        <v>0.11799999999999999</v>
      </c>
      <c r="AZ121" s="496" t="s">
        <v>48</v>
      </c>
      <c r="BA121" s="496"/>
      <c r="BB121" s="496">
        <v>20</v>
      </c>
      <c r="BC121" s="496" t="s">
        <v>49</v>
      </c>
      <c r="BD121" s="496" t="s">
        <v>49</v>
      </c>
      <c r="BE121" s="496" t="s">
        <v>19</v>
      </c>
      <c r="BF121" s="496" t="s">
        <v>50</v>
      </c>
      <c r="BG121" s="496" t="s">
        <v>51</v>
      </c>
      <c r="BH121" s="850">
        <v>1.7930000000000001</v>
      </c>
      <c r="BI121" s="850">
        <v>1.7930000000000001</v>
      </c>
      <c r="BJ121" s="850">
        <v>1.883</v>
      </c>
      <c r="BK121" s="850">
        <v>1.9729999999999999</v>
      </c>
      <c r="BL121" s="496"/>
      <c r="BM121" s="496"/>
      <c r="BN121" s="496"/>
      <c r="BO121" s="496"/>
      <c r="BP121" s="496"/>
    </row>
    <row r="122" spans="13:73">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496"/>
      <c r="AQ122" s="496"/>
      <c r="AR122" s="496"/>
      <c r="AS122" s="496"/>
      <c r="AT122" s="496"/>
      <c r="AU122" s="496"/>
      <c r="AV122" s="496"/>
      <c r="AW122" s="871" t="s">
        <v>408</v>
      </c>
      <c r="AX122" s="496">
        <v>0.17</v>
      </c>
      <c r="AY122" s="496">
        <v>0.13800000000000001</v>
      </c>
      <c r="AZ122" s="496"/>
      <c r="BA122" s="496"/>
      <c r="BB122" s="496">
        <v>25</v>
      </c>
      <c r="BC122" s="496" t="s">
        <v>52</v>
      </c>
      <c r="BD122" s="496"/>
      <c r="BE122" s="496" t="s">
        <v>44</v>
      </c>
      <c r="BF122" s="496"/>
      <c r="BG122" s="496">
        <v>10.1</v>
      </c>
      <c r="BH122" s="850">
        <v>1.8359999999999999</v>
      </c>
      <c r="BI122" s="850">
        <v>1.8359999999999999</v>
      </c>
      <c r="BJ122" s="850">
        <v>1.9279999999999999</v>
      </c>
      <c r="BK122" s="850">
        <v>2.02</v>
      </c>
      <c r="BL122" s="496"/>
      <c r="BM122" s="496"/>
      <c r="BN122" s="496"/>
      <c r="BO122" s="496"/>
      <c r="BP122" s="496"/>
    </row>
    <row r="123" spans="13:73">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496"/>
      <c r="AQ123" s="496"/>
      <c r="AR123" s="496"/>
      <c r="AS123" s="496"/>
      <c r="AT123" s="496"/>
      <c r="AU123" s="496"/>
      <c r="AV123" s="496"/>
      <c r="AW123" s="871" t="s">
        <v>339</v>
      </c>
      <c r="AX123" s="496">
        <v>0.2</v>
      </c>
      <c r="AY123" s="496">
        <v>0.16600000000000001</v>
      </c>
      <c r="AZ123" s="496"/>
      <c r="BA123" s="496"/>
      <c r="BB123" s="496">
        <v>35</v>
      </c>
      <c r="BC123" s="496"/>
      <c r="BD123" s="496"/>
      <c r="BE123" s="496" t="s">
        <v>45</v>
      </c>
      <c r="BF123" s="496"/>
      <c r="BG123" s="496"/>
      <c r="BH123" s="496"/>
      <c r="BI123" s="850"/>
      <c r="BJ123" s="850"/>
      <c r="BK123" s="850"/>
      <c r="BL123" s="496"/>
      <c r="BM123" s="496"/>
      <c r="BN123" s="496"/>
      <c r="BO123" s="496"/>
      <c r="BP123" s="496"/>
    </row>
    <row r="124" spans="13:73">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496"/>
      <c r="AQ124" s="496"/>
      <c r="AR124" s="496"/>
      <c r="AS124" s="496"/>
      <c r="AT124" s="496"/>
      <c r="AU124" s="496"/>
      <c r="AV124" s="496"/>
      <c r="AW124" s="496"/>
      <c r="AX124" s="496"/>
      <c r="AY124" s="496"/>
      <c r="AZ124" s="496"/>
      <c r="BA124" s="496"/>
      <c r="BB124" s="496">
        <v>45</v>
      </c>
      <c r="BC124" s="496"/>
      <c r="BD124" s="496"/>
      <c r="BE124" s="496"/>
      <c r="BF124" s="496"/>
      <c r="BG124" s="496"/>
      <c r="BH124" s="979" t="s">
        <v>49</v>
      </c>
      <c r="BI124" s="979"/>
      <c r="BJ124" s="979"/>
      <c r="BK124" s="979"/>
      <c r="BL124" s="496"/>
      <c r="BM124" s="496"/>
      <c r="BN124" s="496"/>
      <c r="BO124" s="496"/>
      <c r="BP124" s="496"/>
    </row>
    <row r="125" spans="13:73">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496"/>
      <c r="AQ125" s="496"/>
      <c r="AR125" s="496"/>
      <c r="AS125" s="496"/>
      <c r="AT125" s="496"/>
      <c r="AU125" s="496"/>
      <c r="AV125" s="496"/>
      <c r="AW125" s="496"/>
      <c r="AX125" s="496"/>
      <c r="AY125" s="496"/>
      <c r="AZ125" s="496"/>
      <c r="BA125" s="496"/>
      <c r="BB125" s="496">
        <v>50</v>
      </c>
      <c r="BC125" s="496"/>
      <c r="BD125" s="496"/>
      <c r="BE125" s="496"/>
      <c r="BF125" s="496"/>
      <c r="BG125" s="496"/>
      <c r="BH125" s="496" t="s">
        <v>47</v>
      </c>
      <c r="BI125" s="496" t="s">
        <v>19</v>
      </c>
      <c r="BJ125" s="851" t="s">
        <v>44</v>
      </c>
      <c r="BK125" s="496" t="s">
        <v>45</v>
      </c>
      <c r="BL125" s="496"/>
      <c r="BM125" s="496"/>
      <c r="BN125" s="496"/>
      <c r="BO125" s="496"/>
      <c r="BP125" s="496"/>
    </row>
    <row r="126" spans="13:73">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496"/>
      <c r="AQ126" s="496"/>
      <c r="AR126" s="496"/>
      <c r="AS126" s="496"/>
      <c r="AT126" s="496"/>
      <c r="AU126" s="496"/>
      <c r="AV126" s="496"/>
      <c r="AW126" s="496"/>
      <c r="AX126" s="496"/>
      <c r="AY126" s="496"/>
      <c r="AZ126" s="496"/>
      <c r="BA126" s="496"/>
      <c r="BB126" s="496"/>
      <c r="BC126" s="496"/>
      <c r="BD126" s="496"/>
      <c r="BE126" s="496"/>
      <c r="BF126" s="496"/>
      <c r="BG126" s="496" t="s">
        <v>17</v>
      </c>
      <c r="BH126" s="850">
        <v>1.6760000000000002</v>
      </c>
      <c r="BI126" s="850">
        <v>1.6760000000000002</v>
      </c>
      <c r="BJ126" s="850">
        <v>1.76</v>
      </c>
      <c r="BK126" s="850">
        <v>1.8439999999999999</v>
      </c>
      <c r="BL126" s="496"/>
      <c r="BM126" s="496"/>
      <c r="BN126" s="496"/>
      <c r="BO126" s="496"/>
      <c r="BP126" s="496"/>
    </row>
    <row r="127" spans="13:73">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496"/>
      <c r="AQ127" s="496"/>
      <c r="AR127" s="496"/>
      <c r="AS127" s="496"/>
      <c r="AT127" s="496"/>
      <c r="AU127" s="496"/>
      <c r="AV127" s="496"/>
      <c r="AW127" s="496"/>
      <c r="AX127" s="496"/>
      <c r="AY127" s="496"/>
      <c r="AZ127" s="496"/>
      <c r="BA127" s="496"/>
      <c r="BB127" s="496"/>
      <c r="BC127" s="496"/>
      <c r="BD127" s="496"/>
      <c r="BE127" s="496"/>
      <c r="BF127" s="496"/>
      <c r="BG127" s="496" t="s">
        <v>51</v>
      </c>
      <c r="BH127" s="850">
        <v>1.76</v>
      </c>
      <c r="BI127" s="850">
        <v>1.76</v>
      </c>
      <c r="BJ127" s="850">
        <v>1.8479999999999999</v>
      </c>
      <c r="BK127" s="850">
        <v>1.9359999999999999</v>
      </c>
      <c r="BL127" s="496"/>
      <c r="BM127" s="496"/>
      <c r="BN127" s="496"/>
      <c r="BO127" s="496"/>
      <c r="BP127" s="496"/>
    </row>
    <row r="128" spans="13:73">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496"/>
      <c r="AQ128" s="496"/>
      <c r="AR128" s="496"/>
      <c r="AS128" s="496"/>
      <c r="AT128" s="496"/>
      <c r="AU128" s="496"/>
      <c r="AV128" s="496"/>
      <c r="AW128" s="496"/>
      <c r="AX128" s="496"/>
      <c r="AY128" s="496"/>
      <c r="AZ128" s="496"/>
      <c r="BA128" s="496"/>
      <c r="BB128" s="496"/>
      <c r="BC128" s="496"/>
      <c r="BD128" s="496"/>
      <c r="BE128" s="496"/>
      <c r="BF128" s="496"/>
      <c r="BG128" s="496">
        <v>10.1</v>
      </c>
      <c r="BH128" s="850">
        <v>1.802</v>
      </c>
      <c r="BI128" s="850">
        <v>1.802</v>
      </c>
      <c r="BJ128" s="850">
        <v>1.8919999999999999</v>
      </c>
      <c r="BK128" s="850">
        <v>1.982</v>
      </c>
      <c r="BL128" s="496"/>
      <c r="BM128" s="496"/>
      <c r="BN128" s="496"/>
      <c r="BO128" s="496"/>
      <c r="BP128" s="496"/>
    </row>
    <row r="129" spans="13:68">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496"/>
      <c r="AQ129" s="496"/>
      <c r="AR129" s="496"/>
      <c r="AS129" s="496"/>
      <c r="AT129" s="496"/>
      <c r="AU129" s="496"/>
      <c r="AV129" s="496"/>
      <c r="AW129" s="496"/>
      <c r="AX129" s="496"/>
      <c r="AY129" s="496"/>
      <c r="AZ129" s="496"/>
      <c r="BA129" s="496"/>
      <c r="BB129" s="496"/>
      <c r="BC129" s="496"/>
      <c r="BD129" s="496"/>
      <c r="BE129" s="496"/>
      <c r="BF129" s="496"/>
      <c r="BG129" s="496"/>
      <c r="BH129" s="509"/>
      <c r="BI129" s="852"/>
      <c r="BJ129" s="852"/>
      <c r="BK129" s="852"/>
      <c r="BL129" s="496"/>
      <c r="BM129" s="496"/>
      <c r="BN129" s="496"/>
      <c r="BO129" s="496"/>
      <c r="BP129" s="496"/>
    </row>
    <row r="130" spans="13:68">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496"/>
      <c r="AQ130" s="496"/>
      <c r="AR130" s="496"/>
      <c r="AS130" s="496"/>
      <c r="AT130" s="496"/>
      <c r="AU130" s="496"/>
      <c r="AV130" s="496"/>
      <c r="AW130" s="496"/>
      <c r="AX130" s="496"/>
      <c r="AY130" s="496"/>
      <c r="AZ130" s="496"/>
      <c r="BA130" s="496"/>
      <c r="BB130" s="496"/>
      <c r="BC130" s="496"/>
      <c r="BD130" s="496"/>
      <c r="BE130" s="496"/>
      <c r="BF130" s="496"/>
      <c r="BG130" s="496"/>
      <c r="BH130" s="496"/>
      <c r="BI130" s="496"/>
      <c r="BJ130" s="496"/>
      <c r="BK130" s="496"/>
      <c r="BL130" s="496"/>
      <c r="BM130" s="496"/>
      <c r="BN130" s="496"/>
      <c r="BO130" s="496"/>
      <c r="BP130" s="496"/>
    </row>
    <row r="131" spans="13:68">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496"/>
      <c r="AQ131" s="496"/>
      <c r="AR131" s="496"/>
      <c r="AS131" s="496"/>
      <c r="AT131" s="496"/>
      <c r="AU131" s="496"/>
      <c r="AV131" s="496"/>
      <c r="AW131" s="496"/>
      <c r="AX131" s="496"/>
      <c r="AY131" s="496"/>
      <c r="AZ131" s="496"/>
      <c r="BA131" s="496"/>
      <c r="BB131" s="496"/>
      <c r="BC131" s="496"/>
      <c r="BD131" s="496"/>
      <c r="BE131" s="496"/>
      <c r="BF131" s="496"/>
      <c r="BG131" s="496"/>
      <c r="BH131" s="496"/>
      <c r="BI131" s="496"/>
      <c r="BJ131" s="496"/>
      <c r="BK131" s="496"/>
      <c r="BL131" s="496"/>
      <c r="BM131" s="496"/>
      <c r="BN131" s="496"/>
      <c r="BO131" s="496"/>
      <c r="BP131" s="496"/>
    </row>
    <row r="132" spans="13:68">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496"/>
      <c r="AQ132" s="496"/>
      <c r="AR132" s="496"/>
      <c r="AS132" s="496"/>
      <c r="AT132" s="496"/>
      <c r="AU132" s="496"/>
      <c r="AV132" s="496"/>
      <c r="AW132" s="496"/>
      <c r="AX132" s="496"/>
      <c r="AY132" s="496"/>
      <c r="AZ132" s="496"/>
      <c r="BA132" s="496"/>
      <c r="BB132" s="496"/>
      <c r="BC132" s="496"/>
      <c r="BD132" s="496"/>
      <c r="BE132" s="496"/>
      <c r="BF132" s="496"/>
      <c r="BG132" s="496"/>
      <c r="BH132" s="496"/>
      <c r="BI132" s="496"/>
      <c r="BJ132" s="496"/>
      <c r="BK132" s="496"/>
      <c r="BL132" s="496"/>
      <c r="BM132" s="496"/>
      <c r="BN132" s="496"/>
      <c r="BO132" s="496"/>
      <c r="BP132" s="496"/>
    </row>
    <row r="133" spans="13:68">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496"/>
      <c r="AQ133" s="496"/>
      <c r="AR133" s="496"/>
      <c r="AS133" s="496"/>
      <c r="AT133" s="496"/>
      <c r="AU133" s="496"/>
      <c r="AV133" s="496"/>
      <c r="AW133" s="496"/>
      <c r="AX133" s="496"/>
      <c r="AY133" s="496"/>
      <c r="AZ133" s="496"/>
      <c r="BA133" s="496"/>
      <c r="BB133" s="496"/>
      <c r="BC133" s="496"/>
      <c r="BD133" s="496"/>
      <c r="BE133" s="496"/>
      <c r="BF133" s="496"/>
      <c r="BG133" s="496"/>
      <c r="BH133" s="496"/>
      <c r="BI133" s="496"/>
      <c r="BJ133" s="496"/>
      <c r="BK133" s="496"/>
      <c r="BL133" s="496"/>
      <c r="BM133" s="496"/>
      <c r="BN133" s="496"/>
      <c r="BO133" s="496"/>
      <c r="BP133" s="496"/>
    </row>
    <row r="134" spans="13:68">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496"/>
      <c r="AQ134" s="496"/>
      <c r="AR134" s="496"/>
      <c r="AS134" s="496"/>
      <c r="AT134" s="496"/>
      <c r="AU134" s="496"/>
      <c r="AV134" s="496"/>
      <c r="AW134" s="496"/>
      <c r="AX134" s="496"/>
      <c r="AY134" s="496"/>
      <c r="AZ134" s="496"/>
      <c r="BA134" s="496"/>
      <c r="BB134" s="496"/>
      <c r="BC134" s="496"/>
      <c r="BD134" s="496"/>
      <c r="BE134" s="496"/>
      <c r="BF134" s="496"/>
      <c r="BG134" s="496"/>
      <c r="BH134" s="496"/>
      <c r="BI134" s="496"/>
      <c r="BJ134" s="496"/>
      <c r="BK134" s="496"/>
      <c r="BL134" s="496"/>
      <c r="BM134" s="496"/>
      <c r="BN134" s="496"/>
      <c r="BO134" s="496"/>
      <c r="BP134" s="496"/>
    </row>
    <row r="135" spans="13:68">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496"/>
      <c r="AQ135" s="496"/>
      <c r="AR135" s="496"/>
      <c r="AS135" s="496"/>
      <c r="AT135" s="496"/>
      <c r="AU135" s="496"/>
      <c r="AV135" s="496"/>
      <c r="AW135" s="496"/>
      <c r="AX135" s="496"/>
      <c r="AY135" s="496"/>
      <c r="AZ135" s="496"/>
      <c r="BA135" s="496"/>
      <c r="BB135" s="496"/>
      <c r="BC135" s="496"/>
      <c r="BD135" s="496"/>
      <c r="BE135" s="496"/>
      <c r="BF135" s="496"/>
      <c r="BG135" s="496"/>
      <c r="BH135" s="496"/>
      <c r="BI135" s="496"/>
      <c r="BJ135" s="496"/>
      <c r="BK135" s="496"/>
      <c r="BL135" s="496"/>
      <c r="BM135" s="496"/>
      <c r="BN135" s="496"/>
      <c r="BO135" s="496"/>
      <c r="BP135" s="496"/>
    </row>
    <row r="136" spans="13:68">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496"/>
      <c r="AQ136" s="496"/>
      <c r="AR136" s="496"/>
      <c r="AS136" s="496"/>
      <c r="AT136" s="496"/>
      <c r="AU136" s="496"/>
      <c r="AV136" s="496"/>
      <c r="AW136" s="496"/>
      <c r="AX136" s="496"/>
      <c r="AY136" s="496"/>
      <c r="AZ136" s="496"/>
      <c r="BA136" s="496"/>
      <c r="BB136" s="496"/>
      <c r="BC136" s="496"/>
      <c r="BD136" s="496"/>
      <c r="BE136" s="496"/>
      <c r="BF136" s="496"/>
      <c r="BG136" s="496"/>
      <c r="BH136" s="496"/>
      <c r="BI136" s="496"/>
      <c r="BJ136" s="496"/>
      <c r="BK136" s="496"/>
      <c r="BL136" s="496"/>
      <c r="BM136" s="496"/>
      <c r="BN136" s="496"/>
      <c r="BO136" s="496"/>
      <c r="BP136" s="496"/>
    </row>
    <row r="137" spans="13:68">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496"/>
      <c r="AQ137" s="496"/>
      <c r="AR137" s="496"/>
      <c r="AS137" s="496"/>
      <c r="AT137" s="496"/>
      <c r="AU137" s="496"/>
      <c r="AV137" s="496"/>
      <c r="AW137" s="496"/>
      <c r="AX137" s="496"/>
      <c r="AY137" s="496"/>
      <c r="AZ137" s="496"/>
      <c r="BA137" s="496"/>
      <c r="BB137" s="496"/>
      <c r="BC137" s="496"/>
      <c r="BD137" s="496"/>
      <c r="BE137" s="496"/>
      <c r="BF137" s="496"/>
      <c r="BG137" s="496"/>
      <c r="BH137" s="496"/>
      <c r="BI137" s="496"/>
      <c r="BJ137" s="496"/>
      <c r="BK137" s="496"/>
      <c r="BL137" s="496"/>
      <c r="BM137" s="496"/>
      <c r="BN137" s="496"/>
      <c r="BO137" s="496"/>
      <c r="BP137" s="496"/>
    </row>
    <row r="138" spans="13:68">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496"/>
      <c r="AQ138" s="496"/>
      <c r="AR138" s="496"/>
      <c r="AS138" s="496"/>
      <c r="AT138" s="496"/>
      <c r="AU138" s="496"/>
      <c r="AV138" s="496"/>
      <c r="AW138" s="496"/>
      <c r="AX138" s="496"/>
      <c r="AY138" s="496"/>
      <c r="AZ138" s="496"/>
      <c r="BA138" s="496"/>
      <c r="BB138" s="496"/>
      <c r="BC138" s="496"/>
      <c r="BD138" s="496"/>
      <c r="BE138" s="496"/>
      <c r="BF138" s="496"/>
      <c r="BG138" s="496"/>
      <c r="BH138" s="496"/>
      <c r="BI138" s="496"/>
      <c r="BJ138" s="496"/>
      <c r="BK138" s="496"/>
      <c r="BL138" s="496"/>
      <c r="BM138" s="496"/>
      <c r="BN138" s="496"/>
      <c r="BO138" s="496"/>
      <c r="BP138" s="496"/>
    </row>
    <row r="139" spans="13:68">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496"/>
      <c r="AQ139" s="496"/>
      <c r="AR139" s="496"/>
      <c r="AS139" s="496"/>
      <c r="AT139" s="496"/>
      <c r="AU139" s="496"/>
      <c r="AV139" s="496"/>
      <c r="AW139" s="496"/>
      <c r="AX139" s="496"/>
      <c r="AY139" s="496"/>
      <c r="AZ139" s="496"/>
      <c r="BA139" s="496"/>
      <c r="BB139" s="496"/>
      <c r="BC139" s="496"/>
      <c r="BD139" s="496"/>
      <c r="BE139" s="496"/>
      <c r="BF139" s="496"/>
      <c r="BG139" s="496"/>
      <c r="BH139" s="496"/>
      <c r="BI139" s="496"/>
      <c r="BJ139" s="496"/>
      <c r="BK139" s="496"/>
      <c r="BL139" s="496"/>
      <c r="BM139" s="496"/>
      <c r="BN139" s="496"/>
      <c r="BO139" s="496"/>
      <c r="BP139" s="496"/>
    </row>
    <row r="140" spans="13:68">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496"/>
      <c r="AQ140" s="496"/>
      <c r="AR140" s="496"/>
      <c r="AS140" s="496"/>
      <c r="AT140" s="496"/>
      <c r="AU140" s="496"/>
      <c r="AV140" s="496"/>
      <c r="AW140" s="496"/>
      <c r="AX140" s="496"/>
      <c r="AY140" s="496"/>
      <c r="AZ140" s="496"/>
      <c r="BA140" s="496"/>
      <c r="BB140" s="496"/>
      <c r="BC140" s="496"/>
      <c r="BD140" s="496"/>
      <c r="BE140" s="496"/>
      <c r="BF140" s="496"/>
      <c r="BG140" s="496"/>
      <c r="BH140" s="496"/>
      <c r="BI140" s="496"/>
      <c r="BJ140" s="496"/>
      <c r="BK140" s="496"/>
      <c r="BL140" s="496"/>
      <c r="BM140" s="496"/>
      <c r="BN140" s="496"/>
      <c r="BO140" s="496"/>
      <c r="BP140" s="496"/>
    </row>
    <row r="141" spans="13:68">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496"/>
      <c r="AQ141" s="496"/>
      <c r="AR141" s="496"/>
      <c r="AS141" s="496"/>
      <c r="AT141" s="496"/>
      <c r="AU141" s="496"/>
      <c r="AV141" s="496"/>
      <c r="AW141" s="496"/>
      <c r="AX141" s="496"/>
      <c r="AY141" s="496"/>
      <c r="AZ141" s="496"/>
      <c r="BA141" s="496"/>
      <c r="BB141" s="496"/>
      <c r="BC141" s="496"/>
      <c r="BD141" s="496"/>
      <c r="BE141" s="496"/>
      <c r="BF141" s="496"/>
      <c r="BG141" s="496"/>
      <c r="BH141" s="496"/>
      <c r="BI141" s="496"/>
      <c r="BJ141" s="496"/>
      <c r="BK141" s="496"/>
      <c r="BL141" s="496"/>
      <c r="BM141" s="496"/>
      <c r="BN141" s="496"/>
      <c r="BO141" s="496"/>
      <c r="BP141" s="496"/>
    </row>
    <row r="142" spans="13:68">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496"/>
      <c r="AQ142" s="496"/>
      <c r="AR142" s="496"/>
      <c r="AS142" s="496"/>
      <c r="AT142" s="496"/>
      <c r="AU142" s="496"/>
      <c r="AV142" s="496"/>
      <c r="AW142" s="496"/>
      <c r="AX142" s="496"/>
      <c r="AY142" s="496"/>
      <c r="AZ142" s="496"/>
      <c r="BA142" s="496"/>
      <c r="BB142" s="496"/>
      <c r="BC142" s="496"/>
      <c r="BD142" s="496"/>
      <c r="BE142" s="496"/>
      <c r="BF142" s="496"/>
      <c r="BG142" s="496"/>
      <c r="BH142" s="496"/>
      <c r="BI142" s="496"/>
      <c r="BJ142" s="496"/>
      <c r="BK142" s="496"/>
      <c r="BL142" s="496"/>
      <c r="BM142" s="496"/>
      <c r="BN142" s="496"/>
      <c r="BO142" s="496"/>
      <c r="BP142" s="496"/>
    </row>
    <row r="143" spans="13:68">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496"/>
      <c r="AQ143" s="496"/>
      <c r="AR143" s="496"/>
      <c r="AS143" s="496"/>
      <c r="AT143" s="496"/>
      <c r="AU143" s="496"/>
      <c r="AV143" s="496"/>
      <c r="AW143" s="496"/>
      <c r="AX143" s="496"/>
      <c r="AY143" s="496"/>
      <c r="AZ143" s="496"/>
      <c r="BA143" s="496"/>
      <c r="BB143" s="496"/>
      <c r="BC143" s="496"/>
      <c r="BD143" s="496"/>
      <c r="BE143" s="496"/>
      <c r="BF143" s="496"/>
      <c r="BG143" s="496"/>
      <c r="BH143" s="496"/>
      <c r="BI143" s="496"/>
      <c r="BJ143" s="496"/>
      <c r="BK143" s="496"/>
      <c r="BL143" s="496"/>
      <c r="BM143" s="496"/>
      <c r="BN143" s="496"/>
      <c r="BO143" s="496"/>
      <c r="BP143" s="496"/>
    </row>
    <row r="144" spans="13:68">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496"/>
      <c r="AQ144" s="496"/>
      <c r="AR144" s="496"/>
      <c r="AS144" s="496"/>
      <c r="AT144" s="496"/>
      <c r="AU144" s="496"/>
      <c r="AV144" s="496"/>
      <c r="AW144" s="496"/>
      <c r="AX144" s="496"/>
      <c r="AY144" s="496"/>
      <c r="AZ144" s="496"/>
      <c r="BA144" s="496"/>
      <c r="BB144" s="496"/>
      <c r="BC144" s="496"/>
      <c r="BD144" s="496"/>
      <c r="BE144" s="496"/>
      <c r="BF144" s="496"/>
      <c r="BG144" s="496"/>
      <c r="BH144" s="496"/>
      <c r="BI144" s="496"/>
      <c r="BJ144" s="496"/>
      <c r="BK144" s="496"/>
      <c r="BL144" s="496"/>
      <c r="BM144" s="496"/>
      <c r="BN144" s="496"/>
      <c r="BO144" s="496"/>
      <c r="BP144" s="496"/>
    </row>
    <row r="145" spans="13:68">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496"/>
      <c r="AQ145" s="496"/>
      <c r="AR145" s="496"/>
      <c r="AS145" s="496"/>
      <c r="AT145" s="496"/>
      <c r="AU145" s="496"/>
      <c r="AV145" s="496"/>
      <c r="AW145" s="496"/>
      <c r="AX145" s="496"/>
      <c r="AY145" s="496"/>
      <c r="AZ145" s="496"/>
      <c r="BA145" s="496"/>
      <c r="BB145" s="496"/>
      <c r="BC145" s="496"/>
      <c r="BD145" s="496"/>
      <c r="BE145" s="496"/>
      <c r="BF145" s="496"/>
      <c r="BG145" s="496"/>
      <c r="BH145" s="496"/>
      <c r="BI145" s="496"/>
      <c r="BJ145" s="496"/>
      <c r="BK145" s="496"/>
      <c r="BL145" s="496"/>
      <c r="BM145" s="496"/>
      <c r="BN145" s="496"/>
      <c r="BO145" s="496"/>
      <c r="BP145" s="496"/>
    </row>
    <row r="146" spans="13:68">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496"/>
      <c r="AQ146" s="496"/>
      <c r="AR146" s="496"/>
      <c r="AS146" s="496"/>
      <c r="AT146" s="496"/>
      <c r="AU146" s="496"/>
      <c r="AV146" s="496"/>
      <c r="AW146" s="496"/>
      <c r="AX146" s="496"/>
      <c r="AY146" s="496"/>
      <c r="AZ146" s="496"/>
      <c r="BA146" s="496"/>
      <c r="BB146" s="496"/>
      <c r="BC146" s="496"/>
      <c r="BD146" s="496"/>
      <c r="BE146" s="496"/>
      <c r="BF146" s="496"/>
      <c r="BG146" s="496"/>
      <c r="BH146" s="496"/>
      <c r="BI146" s="496"/>
      <c r="BJ146" s="496"/>
      <c r="BK146" s="496"/>
      <c r="BL146" s="496"/>
      <c r="BM146" s="496"/>
      <c r="BN146" s="496"/>
      <c r="BO146" s="496"/>
      <c r="BP146" s="496"/>
    </row>
    <row r="147" spans="13:68">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496"/>
      <c r="AQ147" s="496"/>
      <c r="AR147" s="496"/>
      <c r="AS147" s="496"/>
      <c r="AT147" s="496"/>
      <c r="AU147" s="496"/>
      <c r="AV147" s="496"/>
      <c r="AW147" s="496"/>
      <c r="AX147" s="496"/>
      <c r="AY147" s="496"/>
      <c r="AZ147" s="496"/>
      <c r="BA147" s="496"/>
      <c r="BB147" s="496"/>
      <c r="BC147" s="496"/>
      <c r="BD147" s="496"/>
      <c r="BE147" s="496"/>
      <c r="BF147" s="496"/>
      <c r="BG147" s="496"/>
      <c r="BH147" s="496"/>
      <c r="BI147" s="496"/>
      <c r="BJ147" s="496"/>
      <c r="BK147" s="496"/>
      <c r="BL147" s="496"/>
      <c r="BM147" s="496"/>
      <c r="BN147" s="496"/>
      <c r="BO147" s="496"/>
      <c r="BP147" s="496"/>
    </row>
    <row r="148" spans="13:68">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496"/>
      <c r="AQ148" s="496"/>
      <c r="AR148" s="496"/>
      <c r="AS148" s="496"/>
      <c r="AT148" s="496"/>
      <c r="AU148" s="496"/>
      <c r="AV148" s="496"/>
      <c r="AW148" s="496"/>
      <c r="AX148" s="496"/>
      <c r="AY148" s="496"/>
      <c r="AZ148" s="496"/>
      <c r="BA148" s="496"/>
      <c r="BB148" s="496"/>
      <c r="BC148" s="496"/>
      <c r="BD148" s="496"/>
      <c r="BE148" s="496"/>
      <c r="BF148" s="496"/>
      <c r="BG148" s="496"/>
      <c r="BH148" s="496"/>
      <c r="BI148" s="496"/>
      <c r="BJ148" s="496"/>
      <c r="BK148" s="496"/>
      <c r="BL148" s="496"/>
      <c r="BM148" s="496"/>
      <c r="BN148" s="496"/>
      <c r="BO148" s="496"/>
      <c r="BP148" s="496"/>
    </row>
    <row r="149" spans="13:68">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496"/>
      <c r="AQ149" s="496"/>
      <c r="AR149" s="496"/>
      <c r="AS149" s="496"/>
      <c r="AT149" s="496"/>
      <c r="AU149" s="496"/>
      <c r="AV149" s="496"/>
      <c r="AW149" s="496"/>
      <c r="AX149" s="496"/>
      <c r="AY149" s="496"/>
      <c r="AZ149" s="496"/>
      <c r="BA149" s="496"/>
      <c r="BB149" s="496"/>
      <c r="BC149" s="496"/>
      <c r="BD149" s="496"/>
      <c r="BE149" s="496"/>
      <c r="BF149" s="496"/>
      <c r="BG149" s="496"/>
      <c r="BH149" s="496"/>
      <c r="BI149" s="496"/>
      <c r="BJ149" s="496"/>
      <c r="BK149" s="496"/>
      <c r="BL149" s="496"/>
      <c r="BM149" s="496"/>
      <c r="BN149" s="496"/>
      <c r="BO149" s="496"/>
      <c r="BP149" s="496"/>
    </row>
    <row r="150" spans="13:68">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496"/>
      <c r="AQ150" s="496"/>
      <c r="AR150" s="496"/>
      <c r="AS150" s="496"/>
      <c r="AT150" s="496"/>
      <c r="AU150" s="496"/>
      <c r="AV150" s="496"/>
      <c r="AW150" s="496"/>
      <c r="AX150" s="496"/>
      <c r="AY150" s="496"/>
      <c r="AZ150" s="496"/>
      <c r="BA150" s="496"/>
      <c r="BB150" s="496"/>
      <c r="BC150" s="496"/>
      <c r="BD150" s="496"/>
      <c r="BE150" s="496"/>
      <c r="BF150" s="496"/>
      <c r="BG150" s="496"/>
      <c r="BH150" s="496"/>
      <c r="BI150" s="496"/>
      <c r="BJ150" s="496"/>
      <c r="BK150" s="496"/>
      <c r="BL150" s="496"/>
      <c r="BM150" s="496"/>
      <c r="BN150" s="496"/>
      <c r="BO150" s="496"/>
      <c r="BP150" s="496"/>
    </row>
    <row r="151" spans="13:68">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496"/>
      <c r="AQ151" s="496"/>
      <c r="AR151" s="496"/>
      <c r="AS151" s="496"/>
      <c r="AT151" s="496"/>
      <c r="AU151" s="496"/>
      <c r="AV151" s="496"/>
      <c r="AW151" s="496"/>
      <c r="AX151" s="496"/>
      <c r="AY151" s="496"/>
      <c r="AZ151" s="496"/>
      <c r="BA151" s="496"/>
      <c r="BB151" s="496"/>
      <c r="BC151" s="496"/>
      <c r="BD151" s="496"/>
      <c r="BE151" s="496"/>
      <c r="BF151" s="496"/>
      <c r="BG151" s="496"/>
      <c r="BH151" s="496"/>
      <c r="BI151" s="496"/>
      <c r="BJ151" s="496"/>
      <c r="BK151" s="496"/>
      <c r="BL151" s="496"/>
      <c r="BM151" s="496"/>
      <c r="BN151" s="496"/>
      <c r="BO151" s="496"/>
      <c r="BP151" s="496"/>
    </row>
    <row r="152" spans="13:68">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496"/>
      <c r="AQ152" s="496"/>
      <c r="AR152" s="496"/>
      <c r="AS152" s="496"/>
      <c r="AT152" s="496"/>
      <c r="AU152" s="496"/>
      <c r="AV152" s="496"/>
      <c r="AW152" s="496"/>
      <c r="AX152" s="496"/>
      <c r="AY152" s="496"/>
      <c r="AZ152" s="496"/>
      <c r="BA152" s="496"/>
      <c r="BB152" s="496"/>
      <c r="BC152" s="496"/>
      <c r="BD152" s="496"/>
      <c r="BE152" s="496"/>
      <c r="BF152" s="496"/>
      <c r="BG152" s="496"/>
      <c r="BH152" s="496"/>
      <c r="BI152" s="496"/>
      <c r="BJ152" s="496"/>
      <c r="BK152" s="496"/>
      <c r="BL152" s="496"/>
      <c r="BM152" s="496"/>
      <c r="BN152" s="496"/>
      <c r="BO152" s="496"/>
      <c r="BP152" s="496"/>
    </row>
    <row r="153" spans="13:68">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496"/>
      <c r="AQ153" s="496"/>
      <c r="AR153" s="496"/>
      <c r="AS153" s="496"/>
      <c r="AT153" s="496"/>
      <c r="AU153" s="496"/>
      <c r="AV153" s="496"/>
      <c r="AW153" s="496"/>
      <c r="AX153" s="496"/>
      <c r="AY153" s="496"/>
      <c r="AZ153" s="496"/>
      <c r="BA153" s="496"/>
      <c r="BB153" s="496"/>
      <c r="BC153" s="496"/>
      <c r="BD153" s="496"/>
      <c r="BE153" s="496"/>
      <c r="BF153" s="496"/>
      <c r="BG153" s="496"/>
      <c r="BH153" s="496"/>
      <c r="BI153" s="496"/>
      <c r="BJ153" s="496"/>
      <c r="BK153" s="496"/>
      <c r="BL153" s="496"/>
      <c r="BM153" s="496"/>
      <c r="BN153" s="496"/>
      <c r="BO153" s="496"/>
      <c r="BP153" s="496"/>
    </row>
    <row r="154" spans="13:68">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496"/>
      <c r="AQ154" s="496"/>
      <c r="AR154" s="496"/>
      <c r="AS154" s="496"/>
      <c r="AT154" s="496"/>
      <c r="AU154" s="496"/>
      <c r="AV154" s="496"/>
      <c r="AW154" s="496"/>
      <c r="AX154" s="496"/>
      <c r="AY154" s="496"/>
      <c r="AZ154" s="496"/>
      <c r="BA154" s="496"/>
      <c r="BB154" s="496"/>
      <c r="BC154" s="496"/>
      <c r="BD154" s="496"/>
      <c r="BE154" s="496"/>
      <c r="BF154" s="496"/>
      <c r="BG154" s="496"/>
      <c r="BH154" s="496"/>
      <c r="BI154" s="496"/>
      <c r="BJ154" s="496"/>
      <c r="BK154" s="496"/>
      <c r="BL154" s="496"/>
      <c r="BM154" s="496"/>
      <c r="BN154" s="496"/>
      <c r="BO154" s="496"/>
      <c r="BP154" s="496"/>
    </row>
    <row r="155" spans="13:68">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496"/>
      <c r="AQ155" s="496"/>
      <c r="AR155" s="496"/>
      <c r="AS155" s="496"/>
      <c r="AT155" s="496"/>
      <c r="AU155" s="496"/>
      <c r="AV155" s="496"/>
      <c r="AW155" s="496"/>
      <c r="AX155" s="496"/>
      <c r="AY155" s="496"/>
      <c r="AZ155" s="496"/>
      <c r="BA155" s="496"/>
      <c r="BB155" s="496"/>
      <c r="BC155" s="496"/>
      <c r="BD155" s="496"/>
      <c r="BE155" s="496"/>
      <c r="BF155" s="496"/>
      <c r="BG155" s="496"/>
      <c r="BH155" s="496"/>
      <c r="BI155" s="496"/>
      <c r="BJ155" s="496"/>
      <c r="BK155" s="496"/>
      <c r="BL155" s="496"/>
      <c r="BM155" s="496"/>
      <c r="BN155" s="496"/>
      <c r="BO155" s="496"/>
      <c r="BP155" s="496"/>
    </row>
    <row r="156" spans="13:68">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496"/>
      <c r="AQ156" s="496"/>
      <c r="AR156" s="496"/>
      <c r="AS156" s="496"/>
      <c r="AT156" s="496"/>
      <c r="AU156" s="496"/>
      <c r="AV156" s="496"/>
      <c r="AW156" s="496"/>
      <c r="AX156" s="496"/>
      <c r="AY156" s="496"/>
      <c r="AZ156" s="496"/>
      <c r="BA156" s="496"/>
      <c r="BB156" s="496"/>
      <c r="BC156" s="496"/>
      <c r="BD156" s="496"/>
      <c r="BE156" s="496"/>
      <c r="BF156" s="496"/>
      <c r="BG156" s="496"/>
      <c r="BH156" s="496"/>
      <c r="BI156" s="496"/>
      <c r="BJ156" s="496"/>
      <c r="BK156" s="496"/>
      <c r="BL156" s="496"/>
      <c r="BM156" s="496"/>
      <c r="BN156" s="496"/>
      <c r="BO156" s="496"/>
      <c r="BP156" s="496"/>
    </row>
    <row r="157" spans="13:68">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496"/>
      <c r="AQ157" s="496"/>
      <c r="AR157" s="496"/>
      <c r="AS157" s="496"/>
      <c r="AT157" s="496"/>
      <c r="AU157" s="496"/>
      <c r="AV157" s="496"/>
      <c r="AW157" s="496"/>
      <c r="AX157" s="496"/>
      <c r="AY157" s="496"/>
      <c r="AZ157" s="496"/>
      <c r="BA157" s="496"/>
      <c r="BB157" s="496"/>
      <c r="BC157" s="496"/>
      <c r="BD157" s="496"/>
      <c r="BE157" s="496"/>
      <c r="BF157" s="496"/>
      <c r="BG157" s="496"/>
      <c r="BH157" s="496"/>
      <c r="BI157" s="496"/>
      <c r="BJ157" s="496"/>
      <c r="BK157" s="496"/>
      <c r="BL157" s="496"/>
      <c r="BM157" s="496"/>
      <c r="BN157" s="496"/>
      <c r="BO157" s="496"/>
      <c r="BP157" s="496"/>
    </row>
    <row r="158" spans="13:68">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496"/>
      <c r="AQ158" s="496"/>
      <c r="AR158" s="496"/>
      <c r="AS158" s="496"/>
      <c r="AT158" s="496"/>
      <c r="AU158" s="496"/>
      <c r="AV158" s="496"/>
      <c r="AW158" s="496"/>
      <c r="AX158" s="496"/>
      <c r="AY158" s="496"/>
      <c r="AZ158" s="496"/>
      <c r="BA158" s="496"/>
      <c r="BB158" s="496"/>
      <c r="BC158" s="496"/>
      <c r="BD158" s="496"/>
      <c r="BE158" s="496"/>
      <c r="BF158" s="496"/>
      <c r="BG158" s="496"/>
      <c r="BH158" s="496"/>
      <c r="BI158" s="496"/>
      <c r="BJ158" s="496"/>
      <c r="BK158" s="496"/>
      <c r="BL158" s="496"/>
      <c r="BM158" s="496"/>
      <c r="BN158" s="496"/>
      <c r="BO158" s="496"/>
      <c r="BP158" s="496"/>
    </row>
    <row r="159" spans="13:68">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496"/>
      <c r="AQ159" s="496"/>
      <c r="AR159" s="496"/>
      <c r="AS159" s="496"/>
      <c r="AT159" s="496"/>
      <c r="AU159" s="496"/>
      <c r="AV159" s="496"/>
      <c r="AW159" s="496"/>
      <c r="AX159" s="496"/>
      <c r="AY159" s="496"/>
      <c r="AZ159" s="496"/>
      <c r="BA159" s="496"/>
      <c r="BB159" s="496"/>
      <c r="BC159" s="496"/>
      <c r="BD159" s="496"/>
      <c r="BE159" s="496"/>
      <c r="BF159" s="496"/>
      <c r="BG159" s="496"/>
      <c r="BH159" s="496"/>
      <c r="BI159" s="496"/>
      <c r="BJ159" s="496"/>
      <c r="BK159" s="496"/>
      <c r="BL159" s="496"/>
      <c r="BM159" s="496"/>
      <c r="BN159" s="496"/>
      <c r="BO159" s="496"/>
      <c r="BP159" s="496"/>
    </row>
    <row r="160" spans="13:68">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496"/>
      <c r="AQ160" s="496"/>
      <c r="AR160" s="496"/>
      <c r="AS160" s="496"/>
      <c r="AT160" s="496"/>
      <c r="AU160" s="496"/>
      <c r="AV160" s="496"/>
      <c r="AW160" s="496"/>
      <c r="AX160" s="496"/>
      <c r="AY160" s="496"/>
      <c r="AZ160" s="496"/>
      <c r="BA160" s="496"/>
      <c r="BB160" s="496"/>
      <c r="BC160" s="496"/>
      <c r="BD160" s="496"/>
      <c r="BE160" s="496"/>
      <c r="BF160" s="496"/>
      <c r="BG160" s="496"/>
      <c r="BH160" s="496"/>
      <c r="BI160" s="496"/>
      <c r="BJ160" s="496"/>
      <c r="BK160" s="496"/>
      <c r="BL160" s="496"/>
      <c r="BM160" s="496"/>
      <c r="BN160" s="496"/>
      <c r="BO160" s="496"/>
      <c r="BP160" s="496"/>
    </row>
    <row r="161" spans="13:77">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496"/>
      <c r="AQ161" s="496"/>
      <c r="AR161" s="496"/>
      <c r="AS161" s="496"/>
      <c r="AT161" s="496"/>
      <c r="AU161" s="496"/>
      <c r="AV161" s="496"/>
      <c r="AW161" s="496"/>
      <c r="AX161" s="496"/>
      <c r="AY161" s="496"/>
      <c r="AZ161" s="496"/>
      <c r="BA161" s="496"/>
      <c r="BB161" s="496"/>
      <c r="BC161" s="496"/>
      <c r="BD161" s="496"/>
      <c r="BE161" s="496"/>
      <c r="BF161" s="496"/>
      <c r="BG161" s="496"/>
      <c r="BH161" s="496"/>
      <c r="BI161" s="496"/>
      <c r="BJ161" s="496"/>
      <c r="BK161" s="496"/>
      <c r="BL161" s="496"/>
      <c r="BM161" s="496"/>
      <c r="BN161" s="496"/>
      <c r="BO161" s="496"/>
      <c r="BP161" s="496"/>
      <c r="BQ161" s="57"/>
      <c r="BR161" s="57"/>
      <c r="BS161" s="57"/>
      <c r="BT161" s="57"/>
      <c r="BU161" s="57"/>
      <c r="BV161" s="57"/>
      <c r="BW161" s="57"/>
      <c r="BX161" s="57"/>
      <c r="BY161" s="57"/>
    </row>
    <row r="162" spans="13:77">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496"/>
      <c r="AQ162" s="496"/>
      <c r="AR162" s="496"/>
      <c r="AS162" s="496"/>
      <c r="AT162" s="496"/>
      <c r="AU162" s="496"/>
      <c r="AV162" s="496"/>
      <c r="AW162" s="496"/>
      <c r="AX162" s="496"/>
      <c r="AY162" s="496"/>
      <c r="AZ162" s="496"/>
      <c r="BA162" s="496"/>
      <c r="BB162" s="496"/>
      <c r="BC162" s="496"/>
      <c r="BD162" s="496"/>
      <c r="BE162" s="496"/>
      <c r="BF162" s="496"/>
      <c r="BG162" s="496"/>
      <c r="BH162" s="496"/>
      <c r="BI162" s="496"/>
      <c r="BJ162" s="496"/>
      <c r="BK162" s="496"/>
      <c r="BL162" s="496"/>
      <c r="BM162" s="496"/>
      <c r="BN162" s="496"/>
      <c r="BO162" s="496"/>
      <c r="BP162" s="496"/>
      <c r="BQ162" s="57"/>
      <c r="BR162" s="57"/>
      <c r="BS162" s="57"/>
      <c r="BT162" s="57"/>
      <c r="BU162" s="57"/>
      <c r="BV162" s="57"/>
      <c r="BW162" s="57"/>
      <c r="BX162" s="57"/>
      <c r="BY162" s="57"/>
    </row>
    <row r="163" spans="13:77">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496"/>
      <c r="AQ163" s="496"/>
      <c r="AR163" s="496"/>
      <c r="AS163" s="496"/>
      <c r="AT163" s="496"/>
      <c r="AU163" s="496"/>
      <c r="AV163" s="496"/>
      <c r="AW163" s="496"/>
      <c r="AX163" s="496"/>
      <c r="AY163" s="496"/>
      <c r="AZ163" s="496"/>
      <c r="BA163" s="496"/>
      <c r="BB163" s="496"/>
      <c r="BC163" s="496"/>
      <c r="BD163" s="496"/>
      <c r="BE163" s="496"/>
      <c r="BF163" s="496"/>
      <c r="BG163" s="496"/>
      <c r="BH163" s="496"/>
      <c r="BI163" s="496"/>
      <c r="BJ163" s="496"/>
      <c r="BK163" s="496"/>
      <c r="BL163" s="496"/>
      <c r="BM163" s="496"/>
      <c r="BN163" s="496"/>
      <c r="BO163" s="496"/>
      <c r="BP163" s="496"/>
      <c r="BQ163" s="57"/>
      <c r="BR163" s="57"/>
      <c r="BS163" s="57"/>
      <c r="BT163" s="57"/>
      <c r="BU163" s="57"/>
      <c r="BV163" s="57"/>
      <c r="BW163" s="57"/>
      <c r="BX163" s="57"/>
      <c r="BY163" s="57"/>
    </row>
    <row r="164" spans="13:77" ht="12.95" customHeight="1">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496"/>
      <c r="AQ164" s="496"/>
      <c r="AR164" s="496"/>
      <c r="AS164" s="496"/>
      <c r="AT164" s="496"/>
      <c r="AU164" s="496"/>
      <c r="AV164" s="496"/>
      <c r="AW164" s="496"/>
      <c r="AX164" s="496"/>
      <c r="AY164" s="496"/>
      <c r="AZ164" s="496"/>
      <c r="BA164" s="496"/>
      <c r="BB164" s="496"/>
      <c r="BC164" s="496"/>
      <c r="BD164" s="496"/>
      <c r="BE164" s="496"/>
      <c r="BF164" s="496"/>
      <c r="BG164" s="496"/>
      <c r="BH164" s="496"/>
      <c r="BI164" s="496"/>
      <c r="BJ164" s="496"/>
      <c r="BK164" s="496"/>
      <c r="BL164" s="496"/>
      <c r="BM164" s="496"/>
      <c r="BN164" s="496"/>
      <c r="BO164" s="496"/>
      <c r="BP164" s="496"/>
      <c r="BQ164" s="57"/>
      <c r="BR164" s="58"/>
      <c r="BS164" s="973" t="s">
        <v>49</v>
      </c>
      <c r="BT164" s="973"/>
      <c r="BU164" s="973"/>
      <c r="BV164" s="973" t="s">
        <v>37</v>
      </c>
      <c r="BW164" s="973"/>
      <c r="BX164" s="973"/>
      <c r="BY164" s="57"/>
    </row>
    <row r="165" spans="13:77">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496"/>
      <c r="AQ165" s="496"/>
      <c r="AR165" s="496"/>
      <c r="AS165" s="496"/>
      <c r="AT165" s="496"/>
      <c r="AU165" s="496"/>
      <c r="AV165" s="496"/>
      <c r="AW165" s="496"/>
      <c r="AX165" s="496"/>
      <c r="AY165" s="496"/>
      <c r="AZ165" s="496"/>
      <c r="BA165" s="496"/>
      <c r="BB165" s="496"/>
      <c r="BC165" s="496"/>
      <c r="BD165" s="496"/>
      <c r="BE165" s="496"/>
      <c r="BF165" s="496"/>
      <c r="BG165" s="496"/>
      <c r="BH165" s="496"/>
      <c r="BI165" s="496"/>
      <c r="BJ165" s="496"/>
      <c r="BK165" s="496"/>
      <c r="BL165" s="496"/>
      <c r="BM165" s="496"/>
      <c r="BN165" s="496"/>
      <c r="BO165" s="496"/>
      <c r="BP165" s="496"/>
      <c r="BQ165" s="57"/>
      <c r="BR165" s="58" t="s">
        <v>54</v>
      </c>
      <c r="BS165" s="973"/>
      <c r="BT165" s="973"/>
      <c r="BU165" s="973"/>
      <c r="BV165" s="973"/>
      <c r="BW165" s="973"/>
      <c r="BX165" s="973"/>
      <c r="BY165" s="57"/>
    </row>
    <row r="166" spans="13:77">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496"/>
      <c r="AQ166" s="496"/>
      <c r="AR166" s="496"/>
      <c r="AS166" s="496"/>
      <c r="AT166" s="496"/>
      <c r="AU166" s="496"/>
      <c r="AV166" s="496"/>
      <c r="AW166" s="496"/>
      <c r="AX166" s="496"/>
      <c r="AY166" s="496"/>
      <c r="AZ166" s="496"/>
      <c r="BA166" s="496"/>
      <c r="BB166" s="496"/>
      <c r="BC166" s="496"/>
      <c r="BD166" s="496"/>
      <c r="BE166" s="496"/>
      <c r="BF166" s="496"/>
      <c r="BG166" s="496"/>
      <c r="BH166" s="496"/>
      <c r="BI166" s="496"/>
      <c r="BJ166" s="496"/>
      <c r="BK166" s="496"/>
      <c r="BL166" s="496"/>
      <c r="BM166" s="496"/>
      <c r="BN166" s="496"/>
      <c r="BO166" s="496"/>
      <c r="BP166" s="496"/>
      <c r="BQ166" s="57"/>
      <c r="BR166" s="58" t="s">
        <v>55</v>
      </c>
      <c r="BS166" s="973"/>
      <c r="BT166" s="973"/>
      <c r="BU166" s="973"/>
      <c r="BV166" s="973"/>
      <c r="BW166" s="973"/>
      <c r="BX166" s="973"/>
      <c r="BY166" s="57"/>
    </row>
    <row r="167" spans="13:77" ht="15" customHeight="1">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496"/>
      <c r="AQ167" s="496"/>
      <c r="AR167" s="496"/>
      <c r="AS167" s="496"/>
      <c r="AT167" s="496"/>
      <c r="AU167" s="496"/>
      <c r="AV167" s="496"/>
      <c r="AW167" s="496"/>
      <c r="AX167" s="496"/>
      <c r="AY167" s="496"/>
      <c r="AZ167" s="496"/>
      <c r="BA167" s="496"/>
      <c r="BB167" s="496"/>
      <c r="BC167" s="496"/>
      <c r="BD167" s="496"/>
      <c r="BE167" s="496"/>
      <c r="BF167" s="496"/>
      <c r="BG167" s="496"/>
      <c r="BH167" s="496"/>
      <c r="BI167" s="496"/>
      <c r="BJ167" s="496"/>
      <c r="BK167" s="496"/>
      <c r="BL167" s="496"/>
      <c r="BM167" s="496"/>
      <c r="BN167" s="496"/>
      <c r="BO167" s="496"/>
      <c r="BP167" s="496"/>
      <c r="BQ167" s="57"/>
      <c r="BR167" s="58" t="s">
        <v>56</v>
      </c>
      <c r="BS167" s="970" t="s">
        <v>57</v>
      </c>
      <c r="BT167" s="970"/>
      <c r="BU167" s="970"/>
      <c r="BV167" s="970"/>
      <c r="BW167" s="970"/>
      <c r="BX167" s="970"/>
      <c r="BY167" s="57"/>
    </row>
    <row r="168" spans="13:77" ht="15" customHeight="1">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496"/>
      <c r="AQ168" s="496"/>
      <c r="AR168" s="496"/>
      <c r="AS168" s="496"/>
      <c r="AT168" s="496"/>
      <c r="AU168" s="496"/>
      <c r="AV168" s="496"/>
      <c r="AW168" s="496"/>
      <c r="AX168" s="496"/>
      <c r="AY168" s="496"/>
      <c r="AZ168" s="496"/>
      <c r="BA168" s="496"/>
      <c r="BB168" s="496"/>
      <c r="BC168" s="496"/>
      <c r="BD168" s="496"/>
      <c r="BE168" s="496"/>
      <c r="BF168" s="496"/>
      <c r="BG168" s="496"/>
      <c r="BH168" s="496"/>
      <c r="BI168" s="496"/>
      <c r="BJ168" s="496"/>
      <c r="BK168" s="496"/>
      <c r="BL168" s="496"/>
      <c r="BM168" s="496"/>
      <c r="BN168" s="496"/>
      <c r="BO168" s="496"/>
      <c r="BP168" s="496"/>
      <c r="BQ168" s="57"/>
      <c r="BR168" s="58" t="s">
        <v>58</v>
      </c>
      <c r="BS168" s="970" t="s">
        <v>59</v>
      </c>
      <c r="BT168" s="970"/>
      <c r="BU168" s="970"/>
      <c r="BV168" s="970" t="s">
        <v>59</v>
      </c>
      <c r="BW168" s="970"/>
      <c r="BX168" s="970"/>
      <c r="BY168" s="57"/>
    </row>
    <row r="169" spans="13:77" ht="15.75" customHeight="1">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496"/>
      <c r="AQ169" s="496"/>
      <c r="AR169" s="496"/>
      <c r="AS169" s="496"/>
      <c r="AT169" s="496"/>
      <c r="AU169" s="496"/>
      <c r="AV169" s="496"/>
      <c r="AW169" s="496"/>
      <c r="AX169" s="496"/>
      <c r="AY169" s="496"/>
      <c r="AZ169" s="496"/>
      <c r="BA169" s="496"/>
      <c r="BB169" s="496"/>
      <c r="BC169" s="496"/>
      <c r="BD169" s="496"/>
      <c r="BE169" s="496"/>
      <c r="BF169" s="496"/>
      <c r="BG169" s="496"/>
      <c r="BH169" s="496"/>
      <c r="BI169" s="496"/>
      <c r="BJ169" s="496"/>
      <c r="BK169" s="496"/>
      <c r="BL169" s="496"/>
      <c r="BM169" s="496"/>
      <c r="BN169" s="496"/>
      <c r="BO169" s="496"/>
      <c r="BP169" s="496"/>
      <c r="BQ169" s="57"/>
      <c r="BR169" s="59"/>
      <c r="BS169" s="971"/>
      <c r="BT169" s="971"/>
      <c r="BU169" s="971"/>
      <c r="BV169" s="972"/>
      <c r="BW169" s="972"/>
      <c r="BX169" s="972"/>
      <c r="BY169" s="57"/>
    </row>
    <row r="170" spans="13:77" ht="12.95" customHeight="1">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496"/>
      <c r="AQ170" s="496"/>
      <c r="AR170" s="496"/>
      <c r="AS170" s="496"/>
      <c r="AT170" s="496"/>
      <c r="AU170" s="496"/>
      <c r="AV170" s="496"/>
      <c r="AW170" s="496"/>
      <c r="AX170" s="496"/>
      <c r="AY170" s="496"/>
      <c r="AZ170" s="496"/>
      <c r="BA170" s="496"/>
      <c r="BB170" s="496"/>
      <c r="BC170" s="496"/>
      <c r="BD170" s="496"/>
      <c r="BE170" s="496"/>
      <c r="BF170" s="496"/>
      <c r="BG170" s="496"/>
      <c r="BH170" s="496"/>
      <c r="BI170" s="496"/>
      <c r="BJ170" s="496"/>
      <c r="BK170" s="496"/>
      <c r="BL170" s="496"/>
      <c r="BM170" s="496"/>
      <c r="BN170" s="496"/>
      <c r="BO170" s="496"/>
      <c r="BP170" s="496"/>
      <c r="BQ170" s="57"/>
      <c r="BR170" s="59"/>
      <c r="BS170" s="61" t="s">
        <v>60</v>
      </c>
      <c r="BT170" s="969" t="s">
        <v>61</v>
      </c>
      <c r="BU170" s="969" t="s">
        <v>62</v>
      </c>
      <c r="BV170" s="61" t="s">
        <v>60</v>
      </c>
      <c r="BW170" s="969" t="s">
        <v>61</v>
      </c>
      <c r="BX170" s="969" t="s">
        <v>62</v>
      </c>
      <c r="BY170" s="57"/>
    </row>
    <row r="171" spans="13:77">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496"/>
      <c r="AQ171" s="496"/>
      <c r="AR171" s="496"/>
      <c r="AS171" s="496"/>
      <c r="AT171" s="496"/>
      <c r="AU171" s="496"/>
      <c r="AV171" s="496"/>
      <c r="AW171" s="496"/>
      <c r="AX171" s="496"/>
      <c r="AY171" s="496"/>
      <c r="AZ171" s="496"/>
      <c r="BA171" s="496"/>
      <c r="BB171" s="496"/>
      <c r="BC171" s="496"/>
      <c r="BD171" s="496"/>
      <c r="BE171" s="496"/>
      <c r="BF171" s="496"/>
      <c r="BG171" s="496"/>
      <c r="BH171" s="496"/>
      <c r="BI171" s="496"/>
      <c r="BJ171" s="496"/>
      <c r="BK171" s="496"/>
      <c r="BL171" s="496"/>
      <c r="BM171" s="496"/>
      <c r="BN171" s="496"/>
      <c r="BO171" s="496"/>
      <c r="BP171" s="496"/>
      <c r="BQ171" s="57"/>
      <c r="BR171" s="59"/>
      <c r="BS171" s="61" t="s">
        <v>63</v>
      </c>
      <c r="BT171" s="969"/>
      <c r="BU171" s="969"/>
      <c r="BV171" s="61" t="s">
        <v>63</v>
      </c>
      <c r="BW171" s="969"/>
      <c r="BX171" s="969"/>
      <c r="BY171" s="57"/>
    </row>
    <row r="172" spans="13:77" ht="22.5">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496"/>
      <c r="AQ172" s="496"/>
      <c r="AR172" s="496"/>
      <c r="AS172" s="496"/>
      <c r="AT172" s="496"/>
      <c r="AU172" s="496"/>
      <c r="AV172" s="496"/>
      <c r="AW172" s="496"/>
      <c r="AX172" s="496"/>
      <c r="AY172" s="496"/>
      <c r="AZ172" s="496"/>
      <c r="BA172" s="496"/>
      <c r="BB172" s="496"/>
      <c r="BC172" s="496"/>
      <c r="BD172" s="496"/>
      <c r="BE172" s="496"/>
      <c r="BF172" s="496"/>
      <c r="BG172" s="496"/>
      <c r="BH172" s="496"/>
      <c r="BI172" s="496"/>
      <c r="BJ172" s="496"/>
      <c r="BK172" s="496"/>
      <c r="BL172" s="496"/>
      <c r="BM172" s="496"/>
      <c r="BN172" s="496"/>
      <c r="BO172" s="496"/>
      <c r="BP172" s="496"/>
      <c r="BQ172" s="57"/>
      <c r="BR172" s="62" t="s">
        <v>64</v>
      </c>
      <c r="BS172" s="58" t="s">
        <v>65</v>
      </c>
      <c r="BT172" s="58" t="s">
        <v>66</v>
      </c>
      <c r="BU172" s="58" t="s">
        <v>67</v>
      </c>
      <c r="BV172" s="58" t="s">
        <v>68</v>
      </c>
      <c r="BW172" s="58" t="s">
        <v>69</v>
      </c>
      <c r="BX172" s="58" t="s">
        <v>70</v>
      </c>
      <c r="BY172" s="57"/>
    </row>
    <row r="173" spans="13:77">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496"/>
      <c r="AQ173" s="496"/>
      <c r="AR173" s="496"/>
      <c r="AS173" s="496"/>
      <c r="AT173" s="496"/>
      <c r="AU173" s="496"/>
      <c r="AV173" s="496"/>
      <c r="AW173" s="496"/>
      <c r="AX173" s="496"/>
      <c r="AY173" s="496"/>
      <c r="AZ173" s="496"/>
      <c r="BA173" s="496"/>
      <c r="BB173" s="496"/>
      <c r="BC173" s="496"/>
      <c r="BD173" s="496"/>
      <c r="BE173" s="496"/>
      <c r="BF173" s="496"/>
      <c r="BG173" s="496"/>
      <c r="BH173" s="496"/>
      <c r="BI173" s="496"/>
      <c r="BJ173" s="496"/>
      <c r="BK173" s="496"/>
      <c r="BL173" s="496"/>
      <c r="BM173" s="496"/>
      <c r="BN173" s="496"/>
      <c r="BO173" s="496"/>
      <c r="BP173" s="496"/>
      <c r="BQ173" s="57"/>
      <c r="BR173" s="63" t="s">
        <v>71</v>
      </c>
      <c r="BS173" s="58"/>
      <c r="BT173" s="58"/>
      <c r="BU173" s="58"/>
      <c r="BV173" s="58"/>
      <c r="BW173" s="58"/>
      <c r="BX173" s="58"/>
      <c r="BY173" s="57"/>
    </row>
    <row r="174" spans="13:77" ht="45">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496"/>
      <c r="AQ174" s="496"/>
      <c r="AR174" s="496"/>
      <c r="AS174" s="496"/>
      <c r="AT174" s="496"/>
      <c r="AU174" s="496"/>
      <c r="AV174" s="496"/>
      <c r="AW174" s="496"/>
      <c r="AX174" s="496"/>
      <c r="AY174" s="496"/>
      <c r="AZ174" s="496"/>
      <c r="BA174" s="496"/>
      <c r="BB174" s="496"/>
      <c r="BC174" s="496"/>
      <c r="BD174" s="496"/>
      <c r="BE174" s="496"/>
      <c r="BF174" s="496"/>
      <c r="BG174" s="496"/>
      <c r="BH174" s="496"/>
      <c r="BI174" s="496"/>
      <c r="BJ174" s="496"/>
      <c r="BK174" s="496"/>
      <c r="BL174" s="496"/>
      <c r="BM174" s="496"/>
      <c r="BN174" s="496"/>
      <c r="BO174" s="496"/>
      <c r="BP174" s="496"/>
      <c r="BQ174" s="57"/>
      <c r="BR174" s="62" t="s">
        <v>72</v>
      </c>
      <c r="BS174" s="58" t="s">
        <v>66</v>
      </c>
      <c r="BT174" s="58" t="s">
        <v>73</v>
      </c>
      <c r="BU174" s="58" t="s">
        <v>74</v>
      </c>
      <c r="BV174" s="58" t="s">
        <v>69</v>
      </c>
      <c r="BW174" s="58" t="s">
        <v>75</v>
      </c>
      <c r="BX174" s="58" t="s">
        <v>76</v>
      </c>
      <c r="BY174" s="57"/>
    </row>
    <row r="175" spans="13:77" ht="22.5">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496"/>
      <c r="AQ175" s="496"/>
      <c r="AR175" s="496"/>
      <c r="AS175" s="496"/>
      <c r="AT175" s="496"/>
      <c r="AU175" s="496"/>
      <c r="AV175" s="496"/>
      <c r="AW175" s="496"/>
      <c r="AX175" s="496"/>
      <c r="AY175" s="496"/>
      <c r="AZ175" s="496"/>
      <c r="BA175" s="496"/>
      <c r="BB175" s="496"/>
      <c r="BC175" s="496"/>
      <c r="BD175" s="496"/>
      <c r="BE175" s="496"/>
      <c r="BF175" s="496"/>
      <c r="BG175" s="496"/>
      <c r="BH175" s="496"/>
      <c r="BI175" s="496"/>
      <c r="BJ175" s="496"/>
      <c r="BK175" s="496"/>
      <c r="BL175" s="496"/>
      <c r="BM175" s="496"/>
      <c r="BN175" s="496"/>
      <c r="BO175" s="496"/>
      <c r="BP175" s="496"/>
      <c r="BQ175" s="57"/>
      <c r="BR175" s="62" t="s">
        <v>77</v>
      </c>
      <c r="BS175" s="58" t="s">
        <v>78</v>
      </c>
      <c r="BT175" s="58" t="s">
        <v>79</v>
      </c>
      <c r="BU175" s="58" t="s">
        <v>80</v>
      </c>
      <c r="BV175" s="58" t="s">
        <v>81</v>
      </c>
      <c r="BW175" s="58" t="s">
        <v>82</v>
      </c>
      <c r="BX175" s="58" t="s">
        <v>83</v>
      </c>
      <c r="BY175" s="57"/>
    </row>
    <row r="176" spans="13:77">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496"/>
      <c r="AQ176" s="496"/>
      <c r="AR176" s="496"/>
      <c r="AS176" s="496"/>
      <c r="AT176" s="496"/>
      <c r="AU176" s="496"/>
      <c r="AV176" s="496"/>
      <c r="AW176" s="496"/>
      <c r="AX176" s="496"/>
      <c r="AY176" s="496"/>
      <c r="AZ176" s="496"/>
      <c r="BA176" s="496"/>
      <c r="BB176" s="496"/>
      <c r="BC176" s="496"/>
      <c r="BD176" s="496"/>
      <c r="BE176" s="496"/>
      <c r="BF176" s="496"/>
      <c r="BG176" s="496"/>
      <c r="BH176" s="496"/>
      <c r="BI176" s="496"/>
      <c r="BJ176" s="496"/>
      <c r="BK176" s="496"/>
      <c r="BL176" s="496"/>
      <c r="BM176" s="496"/>
      <c r="BN176" s="496"/>
      <c r="BO176" s="496"/>
      <c r="BP176" s="496"/>
      <c r="BQ176" s="57"/>
      <c r="BR176" s="57"/>
      <c r="BS176" s="57"/>
      <c r="BT176" s="57"/>
      <c r="BU176" s="57"/>
      <c r="BV176" s="57"/>
      <c r="BW176" s="57"/>
      <c r="BX176" s="57"/>
      <c r="BY176" s="57"/>
    </row>
    <row r="177" spans="13:77">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496"/>
      <c r="AQ177" s="496"/>
      <c r="AR177" s="496"/>
      <c r="AS177" s="496"/>
      <c r="AT177" s="496"/>
      <c r="AU177" s="496"/>
      <c r="AV177" s="496"/>
      <c r="AW177" s="496"/>
      <c r="AX177" s="496"/>
      <c r="AY177" s="496"/>
      <c r="AZ177" s="496"/>
      <c r="BA177" s="496"/>
      <c r="BB177" s="496"/>
      <c r="BC177" s="496"/>
      <c r="BD177" s="496"/>
      <c r="BE177" s="496"/>
      <c r="BF177" s="496"/>
      <c r="BG177" s="496"/>
      <c r="BH177" s="496"/>
      <c r="BI177" s="496"/>
      <c r="BJ177" s="496"/>
      <c r="BK177" s="496"/>
      <c r="BL177" s="496"/>
      <c r="BM177" s="496"/>
      <c r="BN177" s="496"/>
      <c r="BO177" s="496"/>
      <c r="BP177" s="496"/>
      <c r="BQ177" s="57"/>
      <c r="BR177" s="57"/>
      <c r="BS177" s="57"/>
      <c r="BT177" s="57"/>
      <c r="BU177" s="57"/>
      <c r="BV177" s="57"/>
      <c r="BW177" s="57"/>
      <c r="BX177" s="57"/>
      <c r="BY177" s="57"/>
    </row>
    <row r="178" spans="13:77">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496"/>
      <c r="AQ178" s="496"/>
      <c r="AR178" s="496"/>
      <c r="AS178" s="496"/>
      <c r="AT178" s="496"/>
      <c r="AU178" s="496"/>
      <c r="AV178" s="496"/>
      <c r="AW178" s="496"/>
      <c r="AX178" s="496"/>
      <c r="AY178" s="496"/>
      <c r="AZ178" s="496"/>
      <c r="BA178" s="496"/>
      <c r="BB178" s="496"/>
      <c r="BC178" s="496"/>
      <c r="BD178" s="496"/>
      <c r="BE178" s="496"/>
      <c r="BF178" s="496"/>
      <c r="BG178" s="496"/>
      <c r="BH178" s="496"/>
      <c r="BI178" s="496"/>
      <c r="BJ178" s="496"/>
      <c r="BK178" s="496"/>
      <c r="BL178" s="496"/>
      <c r="BM178" s="496"/>
      <c r="BN178" s="496"/>
      <c r="BO178" s="496"/>
      <c r="BP178" s="496"/>
      <c r="BQ178" s="57"/>
      <c r="BR178" s="57"/>
      <c r="BS178" s="57"/>
      <c r="BT178" s="57"/>
      <c r="BU178" s="57"/>
      <c r="BV178" s="57"/>
      <c r="BW178" s="57"/>
      <c r="BX178" s="57"/>
      <c r="BY178" s="57"/>
    </row>
    <row r="179" spans="13:77">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496"/>
      <c r="AQ179" s="496"/>
      <c r="AR179" s="496"/>
      <c r="AS179" s="496"/>
      <c r="AT179" s="496"/>
      <c r="AU179" s="496"/>
      <c r="AV179" s="496"/>
      <c r="AW179" s="496"/>
      <c r="AX179" s="496"/>
      <c r="AY179" s="496"/>
      <c r="AZ179" s="496"/>
      <c r="BA179" s="496"/>
      <c r="BB179" s="496"/>
      <c r="BC179" s="496"/>
      <c r="BD179" s="496"/>
      <c r="BE179" s="496"/>
      <c r="BF179" s="496"/>
      <c r="BG179" s="496"/>
      <c r="BH179" s="496"/>
      <c r="BI179" s="496"/>
      <c r="BJ179" s="496"/>
      <c r="BK179" s="496"/>
      <c r="BL179" s="496"/>
      <c r="BM179" s="496"/>
      <c r="BN179" s="496"/>
      <c r="BO179" s="496"/>
      <c r="BP179" s="496"/>
    </row>
    <row r="180" spans="13:77">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496"/>
      <c r="AQ180" s="496"/>
      <c r="AR180" s="496"/>
      <c r="AS180" s="496"/>
      <c r="AT180" s="496"/>
      <c r="AU180" s="496"/>
      <c r="AV180" s="496"/>
      <c r="AW180" s="496"/>
      <c r="AX180" s="496"/>
      <c r="AY180" s="496"/>
      <c r="AZ180" s="496"/>
      <c r="BA180" s="496"/>
      <c r="BB180" s="496"/>
      <c r="BC180" s="496"/>
      <c r="BD180" s="496"/>
      <c r="BE180" s="496"/>
      <c r="BF180" s="496"/>
      <c r="BG180" s="496"/>
      <c r="BH180" s="496"/>
      <c r="BI180" s="496"/>
      <c r="BJ180" s="496"/>
      <c r="BK180" s="496"/>
      <c r="BL180" s="496"/>
      <c r="BM180" s="496"/>
      <c r="BN180" s="496"/>
      <c r="BO180" s="496"/>
      <c r="BP180" s="496"/>
    </row>
    <row r="181" spans="13:77">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496"/>
      <c r="AQ181" s="496"/>
      <c r="AR181" s="496"/>
      <c r="AS181" s="496"/>
      <c r="AT181" s="496"/>
      <c r="AU181" s="496"/>
      <c r="AV181" s="496"/>
      <c r="AW181" s="496"/>
      <c r="AX181" s="496"/>
      <c r="AY181" s="496"/>
      <c r="AZ181" s="496"/>
      <c r="BA181" s="496"/>
      <c r="BB181" s="496"/>
      <c r="BC181" s="496"/>
      <c r="BD181" s="496"/>
      <c r="BE181" s="496"/>
      <c r="BF181" s="496"/>
      <c r="BG181" s="496"/>
      <c r="BH181" s="496"/>
      <c r="BI181" s="496"/>
      <c r="BJ181" s="496"/>
      <c r="BK181" s="496"/>
      <c r="BL181" s="496"/>
      <c r="BM181" s="496"/>
      <c r="BN181" s="496"/>
      <c r="BO181" s="496"/>
      <c r="BP181" s="496"/>
    </row>
    <row r="182" spans="13:77">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496"/>
      <c r="AQ182" s="496"/>
      <c r="AR182" s="496"/>
      <c r="AS182" s="496"/>
      <c r="AT182" s="496"/>
      <c r="AU182" s="496"/>
      <c r="AV182" s="496"/>
      <c r="AW182" s="496"/>
      <c r="AX182" s="496"/>
      <c r="AY182" s="496"/>
      <c r="AZ182" s="496"/>
      <c r="BA182" s="496"/>
      <c r="BB182" s="496"/>
      <c r="BC182" s="496"/>
      <c r="BD182" s="496"/>
      <c r="BE182" s="496"/>
      <c r="BF182" s="496"/>
      <c r="BG182" s="496"/>
      <c r="BH182" s="496"/>
      <c r="BI182" s="496"/>
      <c r="BJ182" s="496"/>
      <c r="BK182" s="496"/>
      <c r="BL182" s="496"/>
      <c r="BM182" s="496"/>
      <c r="BN182" s="496"/>
      <c r="BO182" s="496"/>
      <c r="BP182" s="496"/>
    </row>
    <row r="183" spans="13:77">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496"/>
      <c r="AQ183" s="496"/>
      <c r="AR183" s="496"/>
      <c r="AS183" s="496"/>
      <c r="AT183" s="496"/>
      <c r="AU183" s="496"/>
      <c r="AV183" s="496"/>
      <c r="AW183" s="496"/>
      <c r="AX183" s="496"/>
      <c r="AY183" s="496"/>
      <c r="AZ183" s="496"/>
      <c r="BA183" s="496"/>
      <c r="BB183" s="496"/>
      <c r="BC183" s="496"/>
      <c r="BD183" s="496"/>
      <c r="BE183" s="496"/>
      <c r="BF183" s="496"/>
      <c r="BG183" s="496"/>
      <c r="BH183" s="496"/>
      <c r="BI183" s="496"/>
      <c r="BJ183" s="496"/>
      <c r="BK183" s="496"/>
      <c r="BL183" s="496"/>
      <c r="BM183" s="496"/>
      <c r="BN183" s="496"/>
      <c r="BO183" s="496"/>
      <c r="BP183" s="496"/>
    </row>
    <row r="184" spans="13:77">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496"/>
      <c r="AQ184" s="496"/>
      <c r="AR184" s="496"/>
      <c r="AS184" s="496"/>
      <c r="AT184" s="496"/>
      <c r="AU184" s="496"/>
      <c r="AV184" s="496"/>
      <c r="AW184" s="496"/>
      <c r="AX184" s="496"/>
      <c r="AY184" s="496"/>
      <c r="AZ184" s="496"/>
      <c r="BA184" s="496"/>
      <c r="BB184" s="496"/>
      <c r="BC184" s="496"/>
      <c r="BD184" s="496"/>
      <c r="BE184" s="496"/>
      <c r="BF184" s="496"/>
      <c r="BG184" s="496"/>
      <c r="BH184" s="496"/>
      <c r="BI184" s="496"/>
      <c r="BJ184" s="496"/>
      <c r="BK184" s="496"/>
      <c r="BL184" s="496"/>
      <c r="BM184" s="496"/>
      <c r="BN184" s="496"/>
      <c r="BO184" s="496"/>
      <c r="BP184" s="496"/>
    </row>
    <row r="185" spans="13:77">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496"/>
      <c r="AQ185" s="496"/>
      <c r="AR185" s="496"/>
      <c r="AS185" s="496"/>
      <c r="AT185" s="496"/>
      <c r="AU185" s="496"/>
      <c r="AV185" s="496"/>
      <c r="AW185" s="496"/>
      <c r="AX185" s="496"/>
      <c r="AY185" s="496"/>
      <c r="AZ185" s="496"/>
      <c r="BA185" s="496"/>
      <c r="BB185" s="496"/>
      <c r="BC185" s="496"/>
      <c r="BD185" s="496"/>
      <c r="BE185" s="496"/>
      <c r="BF185" s="496"/>
      <c r="BG185" s="496"/>
      <c r="BH185" s="496"/>
      <c r="BI185" s="496"/>
      <c r="BJ185" s="496"/>
      <c r="BK185" s="496"/>
      <c r="BL185" s="496"/>
      <c r="BM185" s="496"/>
      <c r="BN185" s="496"/>
      <c r="BO185" s="496"/>
      <c r="BP185" s="496"/>
    </row>
    <row r="186" spans="13:77">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496"/>
      <c r="AQ186" s="496"/>
      <c r="AR186" s="496"/>
      <c r="AS186" s="496"/>
      <c r="AT186" s="496"/>
      <c r="AU186" s="496"/>
      <c r="AV186" s="496"/>
      <c r="AW186" s="496"/>
      <c r="AX186" s="496"/>
      <c r="AY186" s="496"/>
      <c r="AZ186" s="496"/>
      <c r="BA186" s="496"/>
      <c r="BB186" s="496"/>
      <c r="BC186" s="496"/>
      <c r="BD186" s="496"/>
      <c r="BE186" s="496"/>
      <c r="BF186" s="496"/>
      <c r="BG186" s="496"/>
      <c r="BH186" s="496"/>
      <c r="BI186" s="496"/>
      <c r="BJ186" s="496"/>
      <c r="BK186" s="496"/>
      <c r="BL186" s="496"/>
      <c r="BM186" s="496"/>
      <c r="BN186" s="496"/>
      <c r="BO186" s="496"/>
      <c r="BP186" s="496"/>
    </row>
    <row r="187" spans="13:77">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496"/>
      <c r="AQ187" s="496"/>
      <c r="AR187" s="496"/>
      <c r="AS187" s="496"/>
      <c r="AT187" s="496"/>
      <c r="AU187" s="496"/>
      <c r="AV187" s="496"/>
      <c r="AW187" s="496"/>
      <c r="AX187" s="496"/>
      <c r="AY187" s="496"/>
      <c r="AZ187" s="496"/>
      <c r="BA187" s="496"/>
      <c r="BB187" s="496"/>
      <c r="BC187" s="496"/>
      <c r="BD187" s="496"/>
      <c r="BE187" s="496"/>
      <c r="BF187" s="496"/>
      <c r="BG187" s="496"/>
      <c r="BH187" s="496"/>
      <c r="BI187" s="496"/>
      <c r="BJ187" s="496"/>
      <c r="BK187" s="496"/>
      <c r="BL187" s="496"/>
      <c r="BM187" s="496"/>
      <c r="BN187" s="496"/>
      <c r="BO187" s="496"/>
      <c r="BP187" s="496"/>
    </row>
    <row r="188" spans="13:77">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496"/>
      <c r="AQ188" s="496"/>
      <c r="AR188" s="496"/>
      <c r="AS188" s="496"/>
      <c r="AT188" s="496"/>
      <c r="AU188" s="496"/>
      <c r="AV188" s="496"/>
      <c r="AW188" s="496"/>
      <c r="AX188" s="496"/>
      <c r="AY188" s="496"/>
      <c r="AZ188" s="496"/>
      <c r="BA188" s="496"/>
      <c r="BB188" s="496"/>
      <c r="BC188" s="496"/>
      <c r="BD188" s="496"/>
      <c r="BE188" s="496"/>
      <c r="BF188" s="496"/>
      <c r="BG188" s="496"/>
      <c r="BH188" s="496"/>
      <c r="BI188" s="496"/>
      <c r="BJ188" s="496"/>
      <c r="BK188" s="496"/>
      <c r="BL188" s="496"/>
      <c r="BM188" s="496"/>
      <c r="BN188" s="496"/>
      <c r="BO188" s="496"/>
      <c r="BP188" s="496"/>
    </row>
    <row r="189" spans="13:77">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496"/>
      <c r="AQ189" s="496"/>
      <c r="AR189" s="496"/>
      <c r="AS189" s="496"/>
      <c r="AT189" s="496"/>
      <c r="AU189" s="496"/>
      <c r="AV189" s="496"/>
      <c r="AW189" s="496"/>
      <c r="AX189" s="496"/>
      <c r="AY189" s="496"/>
      <c r="AZ189" s="496"/>
      <c r="BA189" s="496"/>
      <c r="BB189" s="496"/>
      <c r="BC189" s="496"/>
      <c r="BD189" s="496"/>
      <c r="BE189" s="496"/>
      <c r="BF189" s="496"/>
      <c r="BG189" s="496"/>
      <c r="BH189" s="496"/>
      <c r="BI189" s="496"/>
      <c r="BJ189" s="496"/>
      <c r="BK189" s="496"/>
      <c r="BL189" s="496"/>
      <c r="BM189" s="496"/>
      <c r="BN189" s="496"/>
      <c r="BO189" s="496"/>
      <c r="BP189" s="496"/>
    </row>
    <row r="190" spans="13:77">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496"/>
      <c r="AQ190" s="496"/>
      <c r="AR190" s="496"/>
      <c r="AS190" s="496"/>
      <c r="AT190" s="496"/>
      <c r="AU190" s="496"/>
      <c r="AV190" s="496"/>
      <c r="AW190" s="496"/>
      <c r="AX190" s="496"/>
      <c r="AY190" s="496"/>
      <c r="AZ190" s="496"/>
      <c r="BA190" s="496"/>
      <c r="BB190" s="496"/>
      <c r="BC190" s="496"/>
      <c r="BD190" s="496"/>
      <c r="BE190" s="496"/>
      <c r="BF190" s="496"/>
      <c r="BG190" s="496"/>
      <c r="BH190" s="496"/>
      <c r="BI190" s="496"/>
      <c r="BJ190" s="496"/>
      <c r="BK190" s="496"/>
      <c r="BL190" s="496"/>
      <c r="BM190" s="496"/>
      <c r="BN190" s="496"/>
      <c r="BO190" s="496"/>
      <c r="BP190" s="496"/>
    </row>
    <row r="191" spans="13:77">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496"/>
      <c r="AQ191" s="496"/>
      <c r="AR191" s="496"/>
      <c r="AS191" s="496"/>
      <c r="AT191" s="496"/>
      <c r="AU191" s="496"/>
      <c r="AV191" s="496"/>
      <c r="AW191" s="496"/>
      <c r="AX191" s="496"/>
      <c r="AY191" s="496"/>
      <c r="AZ191" s="496"/>
      <c r="BA191" s="496"/>
      <c r="BB191" s="496"/>
      <c r="BC191" s="496"/>
      <c r="BD191" s="496"/>
      <c r="BE191" s="496"/>
      <c r="BF191" s="496"/>
      <c r="BG191" s="496"/>
      <c r="BH191" s="496"/>
      <c r="BI191" s="496"/>
      <c r="BJ191" s="496"/>
      <c r="BK191" s="496"/>
      <c r="BL191" s="496"/>
      <c r="BM191" s="496"/>
      <c r="BN191" s="496"/>
      <c r="BO191" s="496"/>
      <c r="BP191" s="496"/>
    </row>
    <row r="192" spans="13:77">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496"/>
      <c r="AQ192" s="496"/>
      <c r="AR192" s="496"/>
      <c r="AS192" s="496"/>
      <c r="AT192" s="496"/>
      <c r="AU192" s="496"/>
      <c r="AV192" s="496"/>
      <c r="AW192" s="496"/>
      <c r="AX192" s="496"/>
      <c r="AY192" s="496"/>
      <c r="AZ192" s="496"/>
      <c r="BA192" s="496"/>
      <c r="BB192" s="496"/>
      <c r="BC192" s="496"/>
      <c r="BD192" s="496"/>
      <c r="BE192" s="496"/>
      <c r="BF192" s="496"/>
      <c r="BG192" s="496"/>
      <c r="BH192" s="496"/>
      <c r="BI192" s="496"/>
      <c r="BJ192" s="496"/>
      <c r="BK192" s="496"/>
      <c r="BL192" s="496"/>
      <c r="BM192" s="496"/>
      <c r="BN192" s="496"/>
      <c r="BO192" s="496"/>
      <c r="BP192" s="496"/>
    </row>
    <row r="193" spans="13:68">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496"/>
      <c r="AQ193" s="496"/>
      <c r="AR193" s="496"/>
      <c r="AS193" s="496"/>
      <c r="AT193" s="496"/>
      <c r="AU193" s="496"/>
      <c r="AV193" s="496"/>
      <c r="AW193" s="496"/>
      <c r="AX193" s="496"/>
      <c r="AY193" s="496"/>
      <c r="AZ193" s="496"/>
      <c r="BA193" s="496"/>
      <c r="BB193" s="496"/>
      <c r="BC193" s="496"/>
      <c r="BD193" s="496"/>
      <c r="BE193" s="496"/>
      <c r="BF193" s="496"/>
      <c r="BG193" s="496"/>
      <c r="BH193" s="496"/>
      <c r="BI193" s="496"/>
      <c r="BJ193" s="496"/>
      <c r="BK193" s="496"/>
      <c r="BL193" s="496"/>
      <c r="BM193" s="496"/>
      <c r="BN193" s="496"/>
      <c r="BO193" s="496"/>
      <c r="BP193" s="496"/>
    </row>
    <row r="194" spans="13:68">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496"/>
      <c r="AQ194" s="496"/>
      <c r="AR194" s="496"/>
      <c r="AS194" s="496"/>
      <c r="AT194" s="496"/>
      <c r="AU194" s="496"/>
      <c r="AV194" s="496"/>
      <c r="AW194" s="496"/>
      <c r="AX194" s="496"/>
      <c r="AY194" s="496"/>
      <c r="AZ194" s="496"/>
      <c r="BA194" s="496"/>
      <c r="BB194" s="496"/>
      <c r="BC194" s="496"/>
      <c r="BD194" s="496"/>
      <c r="BE194" s="496"/>
      <c r="BF194" s="496"/>
      <c r="BG194" s="496"/>
      <c r="BH194" s="496"/>
      <c r="BI194" s="496"/>
      <c r="BJ194" s="496"/>
      <c r="BK194" s="496"/>
      <c r="BL194" s="496"/>
      <c r="BM194" s="496"/>
      <c r="BN194" s="496"/>
      <c r="BO194" s="496"/>
      <c r="BP194" s="496"/>
    </row>
    <row r="195" spans="13:68">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496"/>
      <c r="AQ195" s="496"/>
      <c r="AR195" s="496"/>
      <c r="AS195" s="496"/>
      <c r="AT195" s="496"/>
      <c r="AU195" s="496"/>
      <c r="AV195" s="496"/>
      <c r="AW195" s="496"/>
      <c r="AX195" s="496"/>
      <c r="AY195" s="496"/>
      <c r="AZ195" s="496"/>
      <c r="BA195" s="496"/>
      <c r="BB195" s="496"/>
      <c r="BC195" s="496"/>
      <c r="BD195" s="496"/>
      <c r="BE195" s="496"/>
      <c r="BF195" s="496"/>
      <c r="BG195" s="496"/>
      <c r="BH195" s="496"/>
      <c r="BI195" s="496"/>
      <c r="BJ195" s="496"/>
      <c r="BK195" s="496"/>
      <c r="BL195" s="496"/>
      <c r="BM195" s="496"/>
      <c r="BN195" s="496"/>
      <c r="BO195" s="496"/>
      <c r="BP195" s="496"/>
    </row>
    <row r="196" spans="13:68">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496"/>
      <c r="AQ196" s="496"/>
      <c r="AR196" s="496"/>
      <c r="AS196" s="496"/>
      <c r="AT196" s="496"/>
      <c r="AU196" s="496"/>
      <c r="AV196" s="496"/>
      <c r="AW196" s="496"/>
      <c r="AX196" s="496"/>
      <c r="AY196" s="496"/>
      <c r="AZ196" s="496"/>
      <c r="BA196" s="496"/>
      <c r="BB196" s="496"/>
      <c r="BC196" s="496"/>
      <c r="BD196" s="496"/>
      <c r="BE196" s="496"/>
      <c r="BF196" s="496"/>
      <c r="BG196" s="496"/>
      <c r="BH196" s="496"/>
      <c r="BI196" s="496"/>
      <c r="BJ196" s="496"/>
      <c r="BK196" s="496"/>
      <c r="BL196" s="496"/>
      <c r="BM196" s="496"/>
      <c r="BN196" s="496"/>
      <c r="BO196" s="496"/>
      <c r="BP196" s="496"/>
    </row>
    <row r="197" spans="13:68">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496"/>
      <c r="AQ197" s="496"/>
      <c r="AR197" s="496"/>
      <c r="AS197" s="496"/>
      <c r="AT197" s="496"/>
      <c r="AU197" s="496"/>
      <c r="AV197" s="496"/>
      <c r="AW197" s="496"/>
      <c r="AX197" s="496"/>
      <c r="AY197" s="496"/>
      <c r="AZ197" s="496"/>
      <c r="BA197" s="496"/>
      <c r="BB197" s="496"/>
      <c r="BC197" s="496"/>
      <c r="BD197" s="496"/>
      <c r="BE197" s="496"/>
      <c r="BF197" s="496"/>
      <c r="BG197" s="496"/>
      <c r="BH197" s="496"/>
      <c r="BI197" s="496"/>
      <c r="BJ197" s="496"/>
      <c r="BK197" s="496"/>
      <c r="BL197" s="496"/>
      <c r="BM197" s="496"/>
      <c r="BN197" s="496"/>
      <c r="BO197" s="496"/>
      <c r="BP197" s="496"/>
    </row>
    <row r="198" spans="13:68">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496"/>
      <c r="AQ198" s="496"/>
      <c r="AR198" s="496"/>
      <c r="AS198" s="496"/>
      <c r="AT198" s="496"/>
      <c r="AU198" s="496"/>
      <c r="AV198" s="496"/>
      <c r="AW198" s="496"/>
      <c r="AX198" s="496"/>
      <c r="AY198" s="496"/>
      <c r="AZ198" s="496"/>
      <c r="BA198" s="496"/>
      <c r="BB198" s="496"/>
      <c r="BC198" s="496"/>
      <c r="BD198" s="496"/>
      <c r="BE198" s="496"/>
      <c r="BF198" s="496"/>
      <c r="BG198" s="496"/>
      <c r="BH198" s="496"/>
      <c r="BI198" s="496"/>
      <c r="BJ198" s="496"/>
      <c r="BK198" s="496"/>
      <c r="BL198" s="496"/>
      <c r="BM198" s="496"/>
      <c r="BN198" s="496"/>
      <c r="BO198" s="496"/>
      <c r="BP198" s="496"/>
    </row>
    <row r="199" spans="13:68">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496"/>
      <c r="AQ199" s="496"/>
      <c r="AR199" s="496"/>
      <c r="AS199" s="496"/>
      <c r="AT199" s="496"/>
      <c r="AU199" s="496"/>
      <c r="AV199" s="496"/>
      <c r="AW199" s="496"/>
      <c r="AX199" s="496"/>
      <c r="AY199" s="496"/>
      <c r="AZ199" s="496"/>
      <c r="BA199" s="496"/>
      <c r="BB199" s="496"/>
      <c r="BC199" s="496"/>
      <c r="BD199" s="496"/>
      <c r="BE199" s="496"/>
      <c r="BF199" s="496"/>
      <c r="BG199" s="496"/>
      <c r="BH199" s="496"/>
      <c r="BI199" s="496"/>
      <c r="BJ199" s="496"/>
      <c r="BK199" s="496"/>
      <c r="BL199" s="496"/>
      <c r="BM199" s="496"/>
      <c r="BN199" s="496"/>
      <c r="BO199" s="496"/>
      <c r="BP199" s="496"/>
    </row>
    <row r="200" spans="13:68">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496"/>
      <c r="AQ200" s="496"/>
      <c r="AR200" s="496"/>
      <c r="AS200" s="496"/>
      <c r="AT200" s="496"/>
      <c r="AU200" s="496"/>
      <c r="AV200" s="496"/>
      <c r="AW200" s="496"/>
      <c r="AX200" s="496"/>
      <c r="AY200" s="496"/>
      <c r="AZ200" s="496"/>
      <c r="BA200" s="496"/>
      <c r="BB200" s="496"/>
      <c r="BC200" s="496"/>
      <c r="BD200" s="496"/>
      <c r="BE200" s="496"/>
      <c r="BF200" s="496"/>
      <c r="BG200" s="496"/>
      <c r="BH200" s="496"/>
      <c r="BI200" s="496"/>
      <c r="BJ200" s="496"/>
      <c r="BK200" s="496"/>
      <c r="BL200" s="496"/>
      <c r="BM200" s="496"/>
      <c r="BN200" s="496"/>
      <c r="BO200" s="496"/>
      <c r="BP200" s="496"/>
    </row>
    <row r="201" spans="13:68">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496"/>
      <c r="AQ201" s="496"/>
      <c r="AR201" s="496"/>
      <c r="AS201" s="496"/>
      <c r="AT201" s="496"/>
      <c r="AU201" s="496"/>
      <c r="AV201" s="496"/>
      <c r="AW201" s="496"/>
      <c r="AX201" s="496"/>
      <c r="AY201" s="496"/>
      <c r="AZ201" s="496"/>
      <c r="BA201" s="496"/>
      <c r="BB201" s="496"/>
      <c r="BC201" s="496"/>
      <c r="BD201" s="496"/>
      <c r="BE201" s="496"/>
      <c r="BF201" s="496"/>
      <c r="BG201" s="496"/>
      <c r="BH201" s="496"/>
      <c r="BI201" s="496"/>
      <c r="BJ201" s="496"/>
      <c r="BK201" s="496"/>
      <c r="BL201" s="496"/>
      <c r="BM201" s="496"/>
      <c r="BN201" s="496"/>
      <c r="BO201" s="496"/>
      <c r="BP201" s="496"/>
    </row>
    <row r="202" spans="13:68">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496"/>
      <c r="AQ202" s="496"/>
      <c r="AR202" s="496"/>
      <c r="AS202" s="496"/>
      <c r="AT202" s="496"/>
      <c r="AU202" s="496"/>
      <c r="AV202" s="496"/>
      <c r="AW202" s="496"/>
      <c r="AX202" s="496"/>
      <c r="AY202" s="496"/>
      <c r="AZ202" s="496"/>
      <c r="BA202" s="496"/>
      <c r="BB202" s="496"/>
      <c r="BC202" s="496"/>
      <c r="BD202" s="496"/>
      <c r="BE202" s="496"/>
      <c r="BF202" s="496"/>
      <c r="BG202" s="496"/>
      <c r="BH202" s="496"/>
      <c r="BI202" s="496"/>
      <c r="BJ202" s="496"/>
      <c r="BK202" s="496"/>
      <c r="BL202" s="496"/>
      <c r="BM202" s="496"/>
      <c r="BN202" s="496"/>
      <c r="BO202" s="496"/>
      <c r="BP202" s="496"/>
    </row>
    <row r="203" spans="13:68">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496"/>
      <c r="AQ203" s="496"/>
      <c r="AR203" s="496"/>
      <c r="AS203" s="496"/>
      <c r="AT203" s="496"/>
      <c r="AU203" s="496"/>
      <c r="AV203" s="496"/>
      <c r="AW203" s="496"/>
      <c r="AX203" s="496"/>
      <c r="AY203" s="496"/>
      <c r="AZ203" s="496"/>
      <c r="BA203" s="496"/>
      <c r="BB203" s="496"/>
      <c r="BC203" s="496"/>
      <c r="BD203" s="496"/>
      <c r="BE203" s="496"/>
      <c r="BF203" s="496"/>
      <c r="BG203" s="496"/>
      <c r="BH203" s="496"/>
      <c r="BI203" s="496"/>
      <c r="BJ203" s="496"/>
      <c r="BK203" s="496"/>
      <c r="BL203" s="496"/>
      <c r="BM203" s="496"/>
      <c r="BN203" s="496"/>
      <c r="BO203" s="496"/>
      <c r="BP203" s="496"/>
    </row>
    <row r="204" spans="13:68">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496"/>
      <c r="AQ204" s="496"/>
      <c r="AR204" s="496"/>
      <c r="AS204" s="496"/>
      <c r="AT204" s="496"/>
      <c r="AU204" s="496"/>
      <c r="AV204" s="496"/>
      <c r="AW204" s="496"/>
      <c r="AX204" s="496"/>
      <c r="AY204" s="496"/>
      <c r="AZ204" s="496"/>
      <c r="BA204" s="496"/>
      <c r="BB204" s="496"/>
      <c r="BC204" s="496"/>
      <c r="BD204" s="496"/>
      <c r="BE204" s="496"/>
      <c r="BF204" s="496"/>
      <c r="BG204" s="496"/>
      <c r="BH204" s="496"/>
      <c r="BI204" s="496"/>
      <c r="BJ204" s="496"/>
      <c r="BK204" s="496"/>
      <c r="BL204" s="496"/>
      <c r="BM204" s="496"/>
      <c r="BN204" s="496"/>
      <c r="BO204" s="496"/>
      <c r="BP204" s="496"/>
    </row>
    <row r="205" spans="13:68">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496"/>
      <c r="AQ205" s="496"/>
      <c r="AR205" s="496"/>
      <c r="AS205" s="496"/>
      <c r="AT205" s="496"/>
      <c r="AU205" s="496"/>
      <c r="AV205" s="496"/>
      <c r="AW205" s="496"/>
      <c r="AX205" s="496"/>
      <c r="AY205" s="496"/>
      <c r="AZ205" s="496"/>
      <c r="BA205" s="496"/>
      <c r="BB205" s="496"/>
      <c r="BC205" s="496"/>
      <c r="BD205" s="496"/>
      <c r="BE205" s="496"/>
      <c r="BF205" s="496"/>
      <c r="BG205" s="496"/>
      <c r="BH205" s="496"/>
      <c r="BI205" s="496"/>
      <c r="BJ205" s="496"/>
      <c r="BK205" s="496"/>
      <c r="BL205" s="496"/>
      <c r="BM205" s="496"/>
      <c r="BN205" s="496"/>
      <c r="BO205" s="496"/>
      <c r="BP205" s="496"/>
    </row>
    <row r="206" spans="13:68">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496"/>
      <c r="AQ206" s="496"/>
      <c r="AR206" s="496"/>
      <c r="AS206" s="496"/>
      <c r="AT206" s="496"/>
      <c r="AU206" s="496"/>
      <c r="AV206" s="496"/>
      <c r="AW206" s="496"/>
      <c r="AX206" s="496"/>
      <c r="AY206" s="496"/>
      <c r="AZ206" s="496"/>
      <c r="BA206" s="496"/>
      <c r="BB206" s="496"/>
      <c r="BC206" s="496"/>
      <c r="BD206" s="496"/>
      <c r="BE206" s="496"/>
      <c r="BF206" s="496"/>
      <c r="BG206" s="496"/>
      <c r="BH206" s="496"/>
      <c r="BI206" s="496"/>
      <c r="BJ206" s="496"/>
      <c r="BK206" s="496"/>
      <c r="BL206" s="496"/>
      <c r="BM206" s="496"/>
      <c r="BN206" s="496"/>
      <c r="BO206" s="496"/>
      <c r="BP206" s="496"/>
    </row>
    <row r="207" spans="13:68">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496"/>
      <c r="AQ207" s="496"/>
      <c r="AR207" s="496"/>
      <c r="AS207" s="496"/>
      <c r="AT207" s="496"/>
      <c r="AU207" s="496"/>
      <c r="AV207" s="496"/>
      <c r="AW207" s="496"/>
      <c r="AX207" s="496"/>
      <c r="AY207" s="496"/>
      <c r="AZ207" s="496"/>
      <c r="BA207" s="496"/>
      <c r="BB207" s="496"/>
      <c r="BC207" s="496"/>
      <c r="BD207" s="496"/>
      <c r="BE207" s="496"/>
      <c r="BF207" s="496"/>
      <c r="BG207" s="496"/>
      <c r="BH207" s="496"/>
      <c r="BI207" s="496"/>
      <c r="BJ207" s="496"/>
      <c r="BK207" s="496"/>
      <c r="BL207" s="496"/>
      <c r="BM207" s="496"/>
      <c r="BN207" s="496"/>
      <c r="BO207" s="496"/>
      <c r="BP207" s="496"/>
    </row>
    <row r="208" spans="13:68">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496"/>
      <c r="AQ208" s="496"/>
      <c r="AR208" s="496"/>
      <c r="AS208" s="496"/>
      <c r="AT208" s="496"/>
      <c r="AU208" s="496"/>
      <c r="AV208" s="496"/>
      <c r="AW208" s="496"/>
      <c r="AX208" s="496"/>
      <c r="AY208" s="496"/>
      <c r="AZ208" s="496"/>
      <c r="BA208" s="496"/>
      <c r="BB208" s="496"/>
      <c r="BC208" s="496"/>
      <c r="BD208" s="496"/>
      <c r="BE208" s="496"/>
      <c r="BF208" s="496"/>
      <c r="BG208" s="496"/>
      <c r="BH208" s="496"/>
      <c r="BI208" s="496"/>
      <c r="BJ208" s="496"/>
      <c r="BK208" s="496"/>
      <c r="BL208" s="496"/>
      <c r="BM208" s="496"/>
      <c r="BN208" s="496"/>
      <c r="BO208" s="496"/>
      <c r="BP208" s="496"/>
    </row>
    <row r="209" spans="13:45">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row>
    <row r="210" spans="13:45">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row>
    <row r="211" spans="13:45">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row>
    <row r="212" spans="13:45">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row>
    <row r="213" spans="13:45">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row>
    <row r="214" spans="13:45">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row>
    <row r="215" spans="13:45">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row>
    <row r="216" spans="13:45">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row>
    <row r="217" spans="13:45">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row>
    <row r="218" spans="13:45">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row>
    <row r="219" spans="13:45">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row>
    <row r="220" spans="13:45">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row>
    <row r="221" spans="13:45">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row>
    <row r="222" spans="13:45">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row>
    <row r="223" spans="13:45">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row>
    <row r="224" spans="13:45">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row>
    <row r="225" spans="13:45">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row>
    <row r="226" spans="13:45">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row>
    <row r="227" spans="13:45">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row>
    <row r="228" spans="13:45">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row>
    <row r="229" spans="13:45">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row>
    <row r="230" spans="13:45">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row>
    <row r="231" spans="13:45">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row>
    <row r="232" spans="13:45">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row>
    <row r="233" spans="13:45">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row>
    <row r="234" spans="13:45">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row>
    <row r="235" spans="13:45">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row>
    <row r="236" spans="13:45">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row>
    <row r="237" spans="13:45">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row>
    <row r="238" spans="13:45">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row>
    <row r="239" spans="13:45">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row>
    <row r="240" spans="13:45">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row>
    <row r="241" spans="13:45">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row>
    <row r="242" spans="13:45">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row>
    <row r="243" spans="13:45">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row>
    <row r="244" spans="13:45">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row>
    <row r="245" spans="13:45">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row>
  </sheetData>
  <sheetProtection password="F7EB" sheet="1" objects="1" scenarios="1"/>
  <dataConsolidate/>
  <mergeCells count="39">
    <mergeCell ref="BV164:BX166"/>
    <mergeCell ref="AW110:AX110"/>
    <mergeCell ref="AW118:AX118"/>
    <mergeCell ref="BG99:BJ99"/>
    <mergeCell ref="AY100:AZ100"/>
    <mergeCell ref="BG105:BJ105"/>
    <mergeCell ref="BS164:BU166"/>
    <mergeCell ref="BH118:BK118"/>
    <mergeCell ref="AZ119:BA119"/>
    <mergeCell ref="BH124:BK124"/>
    <mergeCell ref="BT170:BT171"/>
    <mergeCell ref="BU170:BU171"/>
    <mergeCell ref="BW170:BW171"/>
    <mergeCell ref="BX170:BX171"/>
    <mergeCell ref="BS167:BU167"/>
    <mergeCell ref="BV167:BX167"/>
    <mergeCell ref="BS168:BU168"/>
    <mergeCell ref="BV168:BX168"/>
    <mergeCell ref="BS169:BU169"/>
    <mergeCell ref="BV169:BX169"/>
    <mergeCell ref="J4:K4"/>
    <mergeCell ref="A8:B8"/>
    <mergeCell ref="C8:D8"/>
    <mergeCell ref="J5:K5"/>
    <mergeCell ref="E28:F28"/>
    <mergeCell ref="G15:I16"/>
    <mergeCell ref="C17:E17"/>
    <mergeCell ref="D18:E18"/>
    <mergeCell ref="D19:E19"/>
    <mergeCell ref="D20:E20"/>
    <mergeCell ref="D21:E21"/>
    <mergeCell ref="D22:E22"/>
    <mergeCell ref="J3:K3"/>
    <mergeCell ref="A1:F1"/>
    <mergeCell ref="H1:I1"/>
    <mergeCell ref="C3:D3"/>
    <mergeCell ref="E3:F3"/>
    <mergeCell ref="B2:F2"/>
    <mergeCell ref="J2:K2"/>
  </mergeCells>
  <conditionalFormatting sqref="A15:B16">
    <cfRule type="expression" dxfId="15" priority="25">
      <formula>$B$3="Package Policy"</formula>
    </cfRule>
  </conditionalFormatting>
  <dataValidations count="7">
    <dataValidation type="list" operator="equal" allowBlank="1" showErrorMessage="1" sqref="B5">
      <formula1>"Zone A,Zone B,"</formula1>
      <formula2>0</formula2>
    </dataValidation>
    <dataValidation type="list" operator="equal" allowBlank="1" showErrorMessage="1" sqref="D5">
      <formula1>"0,20,25,35,45,50"</formula1>
      <formula2>0</formula2>
    </dataValidation>
    <dataValidation type="list" operator="equal" allowBlank="1" showErrorMessage="1" sqref="F5 F7 H4:H5">
      <formula1>"Yes,No"</formula1>
      <formula2>0</formula2>
    </dataValidation>
    <dataValidation type="list" operator="equal" allowBlank="1" showErrorMessage="1" sqref="B6">
      <formula1>INDIRECT(AV101)</formula1>
    </dataValidation>
    <dataValidation type="list" operator="equal" allowBlank="1" showErrorMessage="1" sqref="D6">
      <formula1>"&lt;75,76-150,151-350,&gt;350"</formula1>
      <formula2>0</formula2>
    </dataValidation>
    <dataValidation type="list" allowBlank="1" showInputMessage="1" showErrorMessage="1" sqref="B3">
      <formula1>"Package Policy, Enhancement Policy"</formula1>
    </dataValidation>
    <dataValidation type="list" allowBlank="1" showInputMessage="1" showErrorMessage="1" sqref="E3:F3">
      <formula1>"Battery, Others"</formula1>
    </dataValidation>
  </dataValidations>
  <hyperlinks>
    <hyperlink ref="H1" location="Motor Home Page!a1" display="Motor Home Page"/>
  </hyperlinks>
  <pageMargins left="0.70866141732283472" right="0.70866141732283472" top="0.74803149606299213" bottom="0.74803149606299213" header="0.31496062992125984" footer="0.51181102362204722"/>
  <pageSetup scale="90" firstPageNumber="0" orientation="landscape" horizontalDpi="300" verticalDpi="300" r:id="rId1"/>
  <headerFooter alignWithMargins="0">
    <oddHeader>&amp;L&amp;"Calibri,Regular"&amp;11Designed By Prashanth Komarraju</oddHeader>
  </headerFooter>
  <colBreaks count="1" manualBreakCount="1">
    <brk id="6" max="1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88"/>
  <sheetViews>
    <sheetView zoomScaleNormal="100" zoomScaleSheetLayoutView="51" workbookViewId="0">
      <selection activeCell="H5" sqref="H5:I5"/>
    </sheetView>
  </sheetViews>
  <sheetFormatPr defaultColWidth="9.42578125" defaultRowHeight="15"/>
  <cols>
    <col min="1" max="1" width="30.7109375" style="5" customWidth="1"/>
    <col min="2" max="2" width="28.7109375" style="5" customWidth="1"/>
    <col min="3" max="3" width="35.140625" style="5" customWidth="1"/>
    <col min="4" max="4" width="10.140625" style="5" customWidth="1"/>
    <col min="5" max="5" width="35.140625" style="5" customWidth="1"/>
    <col min="6" max="6" width="11.28515625" style="5" customWidth="1"/>
    <col min="7" max="7" width="3.140625" style="5" customWidth="1"/>
    <col min="8" max="8" width="17" style="5" customWidth="1"/>
    <col min="9" max="9" width="13.7109375" style="5" customWidth="1"/>
    <col min="10" max="10" width="24.42578125" style="5" customWidth="1"/>
    <col min="11" max="46" width="9.42578125" style="5"/>
    <col min="47" max="47" width="7" style="5" customWidth="1"/>
    <col min="48" max="48" width="23.5703125" style="5" customWidth="1"/>
    <col min="49" max="49" width="15" style="5" customWidth="1"/>
    <col min="50" max="50" width="29.42578125" style="5" customWidth="1"/>
    <col min="51" max="68" width="9.42578125" style="5"/>
    <col min="69" max="69" width="12.5703125" style="5" customWidth="1"/>
    <col min="70" max="70" width="12.7109375" style="5" customWidth="1"/>
    <col min="71" max="71" width="15.5703125" style="5" customWidth="1"/>
    <col min="72" max="72" width="11.85546875" style="5" customWidth="1"/>
    <col min="73" max="73" width="12.42578125" style="5" customWidth="1"/>
    <col min="74" max="74" width="12" style="5" customWidth="1"/>
    <col min="75" max="256" width="9.42578125" style="5"/>
    <col min="257" max="257" width="30.7109375" style="5" customWidth="1"/>
    <col min="258" max="258" width="28.7109375" style="5" customWidth="1"/>
    <col min="259" max="259" width="31.28515625" style="5" customWidth="1"/>
    <col min="260" max="260" width="10.140625" style="5" customWidth="1"/>
    <col min="261" max="261" width="34" style="5" customWidth="1"/>
    <col min="262" max="262" width="11.28515625" style="5" customWidth="1"/>
    <col min="263" max="263" width="3.140625" style="5" customWidth="1"/>
    <col min="264" max="264" width="15.28515625" style="5" customWidth="1"/>
    <col min="265" max="265" width="13.7109375" style="5" customWidth="1"/>
    <col min="266" max="266" width="24.42578125" style="5" customWidth="1"/>
    <col min="267" max="302" width="9.42578125" style="5"/>
    <col min="303" max="303" width="7" style="5" customWidth="1"/>
    <col min="304" max="304" width="23.5703125" style="5" customWidth="1"/>
    <col min="305" max="305" width="15" style="5" customWidth="1"/>
    <col min="306" max="306" width="29.42578125" style="5" customWidth="1"/>
    <col min="307" max="324" width="9.42578125" style="5"/>
    <col min="325" max="325" width="12.5703125" style="5" customWidth="1"/>
    <col min="326" max="326" width="12.7109375" style="5" customWidth="1"/>
    <col min="327" max="327" width="15.5703125" style="5" customWidth="1"/>
    <col min="328" max="328" width="11.85546875" style="5" customWidth="1"/>
    <col min="329" max="329" width="12.42578125" style="5" customWidth="1"/>
    <col min="330" max="330" width="12" style="5" customWidth="1"/>
    <col min="331" max="512" width="9.42578125" style="5"/>
    <col min="513" max="513" width="30.7109375" style="5" customWidth="1"/>
    <col min="514" max="514" width="28.7109375" style="5" customWidth="1"/>
    <col min="515" max="515" width="31.28515625" style="5" customWidth="1"/>
    <col min="516" max="516" width="10.140625" style="5" customWidth="1"/>
    <col min="517" max="517" width="34" style="5" customWidth="1"/>
    <col min="518" max="518" width="11.28515625" style="5" customWidth="1"/>
    <col min="519" max="519" width="3.140625" style="5" customWidth="1"/>
    <col min="520" max="520" width="15.28515625" style="5" customWidth="1"/>
    <col min="521" max="521" width="13.7109375" style="5" customWidth="1"/>
    <col min="522" max="522" width="24.42578125" style="5" customWidth="1"/>
    <col min="523" max="558" width="9.42578125" style="5"/>
    <col min="559" max="559" width="7" style="5" customWidth="1"/>
    <col min="560" max="560" width="23.5703125" style="5" customWidth="1"/>
    <col min="561" max="561" width="15" style="5" customWidth="1"/>
    <col min="562" max="562" width="29.42578125" style="5" customWidth="1"/>
    <col min="563" max="580" width="9.42578125" style="5"/>
    <col min="581" max="581" width="12.5703125" style="5" customWidth="1"/>
    <col min="582" max="582" width="12.7109375" style="5" customWidth="1"/>
    <col min="583" max="583" width="15.5703125" style="5" customWidth="1"/>
    <col min="584" max="584" width="11.85546875" style="5" customWidth="1"/>
    <col min="585" max="585" width="12.42578125" style="5" customWidth="1"/>
    <col min="586" max="586" width="12" style="5" customWidth="1"/>
    <col min="587" max="768" width="9.42578125" style="5"/>
    <col min="769" max="769" width="30.7109375" style="5" customWidth="1"/>
    <col min="770" max="770" width="28.7109375" style="5" customWidth="1"/>
    <col min="771" max="771" width="31.28515625" style="5" customWidth="1"/>
    <col min="772" max="772" width="10.140625" style="5" customWidth="1"/>
    <col min="773" max="773" width="34" style="5" customWidth="1"/>
    <col min="774" max="774" width="11.28515625" style="5" customWidth="1"/>
    <col min="775" max="775" width="3.140625" style="5" customWidth="1"/>
    <col min="776" max="776" width="15.28515625" style="5" customWidth="1"/>
    <col min="777" max="777" width="13.7109375" style="5" customWidth="1"/>
    <col min="778" max="778" width="24.42578125" style="5" customWidth="1"/>
    <col min="779" max="814" width="9.42578125" style="5"/>
    <col min="815" max="815" width="7" style="5" customWidth="1"/>
    <col min="816" max="816" width="23.5703125" style="5" customWidth="1"/>
    <col min="817" max="817" width="15" style="5" customWidth="1"/>
    <col min="818" max="818" width="29.42578125" style="5" customWidth="1"/>
    <col min="819" max="836" width="9.42578125" style="5"/>
    <col min="837" max="837" width="12.5703125" style="5" customWidth="1"/>
    <col min="838" max="838" width="12.7109375" style="5" customWidth="1"/>
    <col min="839" max="839" width="15.5703125" style="5" customWidth="1"/>
    <col min="840" max="840" width="11.85546875" style="5" customWidth="1"/>
    <col min="841" max="841" width="12.42578125" style="5" customWidth="1"/>
    <col min="842" max="842" width="12" style="5" customWidth="1"/>
    <col min="843" max="1024" width="9.42578125" style="5"/>
    <col min="1025" max="1025" width="30.7109375" style="5" customWidth="1"/>
    <col min="1026" max="1026" width="28.7109375" style="5" customWidth="1"/>
    <col min="1027" max="1027" width="31.28515625" style="5" customWidth="1"/>
    <col min="1028" max="1028" width="10.140625" style="5" customWidth="1"/>
    <col min="1029" max="1029" width="34" style="5" customWidth="1"/>
    <col min="1030" max="1030" width="11.28515625" style="5" customWidth="1"/>
    <col min="1031" max="1031" width="3.140625" style="5" customWidth="1"/>
    <col min="1032" max="1032" width="15.28515625" style="5" customWidth="1"/>
    <col min="1033" max="1033" width="13.7109375" style="5" customWidth="1"/>
    <col min="1034" max="1034" width="24.42578125" style="5" customWidth="1"/>
    <col min="1035" max="1070" width="9.42578125" style="5"/>
    <col min="1071" max="1071" width="7" style="5" customWidth="1"/>
    <col min="1072" max="1072" width="23.5703125" style="5" customWidth="1"/>
    <col min="1073" max="1073" width="15" style="5" customWidth="1"/>
    <col min="1074" max="1074" width="29.42578125" style="5" customWidth="1"/>
    <col min="1075" max="1092" width="9.42578125" style="5"/>
    <col min="1093" max="1093" width="12.5703125" style="5" customWidth="1"/>
    <col min="1094" max="1094" width="12.7109375" style="5" customWidth="1"/>
    <col min="1095" max="1095" width="15.5703125" style="5" customWidth="1"/>
    <col min="1096" max="1096" width="11.85546875" style="5" customWidth="1"/>
    <col min="1097" max="1097" width="12.42578125" style="5" customWidth="1"/>
    <col min="1098" max="1098" width="12" style="5" customWidth="1"/>
    <col min="1099" max="1280" width="9.42578125" style="5"/>
    <col min="1281" max="1281" width="30.7109375" style="5" customWidth="1"/>
    <col min="1282" max="1282" width="28.7109375" style="5" customWidth="1"/>
    <col min="1283" max="1283" width="31.28515625" style="5" customWidth="1"/>
    <col min="1284" max="1284" width="10.140625" style="5" customWidth="1"/>
    <col min="1285" max="1285" width="34" style="5" customWidth="1"/>
    <col min="1286" max="1286" width="11.28515625" style="5" customWidth="1"/>
    <col min="1287" max="1287" width="3.140625" style="5" customWidth="1"/>
    <col min="1288" max="1288" width="15.28515625" style="5" customWidth="1"/>
    <col min="1289" max="1289" width="13.7109375" style="5" customWidth="1"/>
    <col min="1290" max="1290" width="24.42578125" style="5" customWidth="1"/>
    <col min="1291" max="1326" width="9.42578125" style="5"/>
    <col min="1327" max="1327" width="7" style="5" customWidth="1"/>
    <col min="1328" max="1328" width="23.5703125" style="5" customWidth="1"/>
    <col min="1329" max="1329" width="15" style="5" customWidth="1"/>
    <col min="1330" max="1330" width="29.42578125" style="5" customWidth="1"/>
    <col min="1331" max="1348" width="9.42578125" style="5"/>
    <col min="1349" max="1349" width="12.5703125" style="5" customWidth="1"/>
    <col min="1350" max="1350" width="12.7109375" style="5" customWidth="1"/>
    <col min="1351" max="1351" width="15.5703125" style="5" customWidth="1"/>
    <col min="1352" max="1352" width="11.85546875" style="5" customWidth="1"/>
    <col min="1353" max="1353" width="12.42578125" style="5" customWidth="1"/>
    <col min="1354" max="1354" width="12" style="5" customWidth="1"/>
    <col min="1355" max="1536" width="9.42578125" style="5"/>
    <col min="1537" max="1537" width="30.7109375" style="5" customWidth="1"/>
    <col min="1538" max="1538" width="28.7109375" style="5" customWidth="1"/>
    <col min="1539" max="1539" width="31.28515625" style="5" customWidth="1"/>
    <col min="1540" max="1540" width="10.140625" style="5" customWidth="1"/>
    <col min="1541" max="1541" width="34" style="5" customWidth="1"/>
    <col min="1542" max="1542" width="11.28515625" style="5" customWidth="1"/>
    <col min="1543" max="1543" width="3.140625" style="5" customWidth="1"/>
    <col min="1544" max="1544" width="15.28515625" style="5" customWidth="1"/>
    <col min="1545" max="1545" width="13.7109375" style="5" customWidth="1"/>
    <col min="1546" max="1546" width="24.42578125" style="5" customWidth="1"/>
    <col min="1547" max="1582" width="9.42578125" style="5"/>
    <col min="1583" max="1583" width="7" style="5" customWidth="1"/>
    <col min="1584" max="1584" width="23.5703125" style="5" customWidth="1"/>
    <col min="1585" max="1585" width="15" style="5" customWidth="1"/>
    <col min="1586" max="1586" width="29.42578125" style="5" customWidth="1"/>
    <col min="1587" max="1604" width="9.42578125" style="5"/>
    <col min="1605" max="1605" width="12.5703125" style="5" customWidth="1"/>
    <col min="1606" max="1606" width="12.7109375" style="5" customWidth="1"/>
    <col min="1607" max="1607" width="15.5703125" style="5" customWidth="1"/>
    <col min="1608" max="1608" width="11.85546875" style="5" customWidth="1"/>
    <col min="1609" max="1609" width="12.42578125" style="5" customWidth="1"/>
    <col min="1610" max="1610" width="12" style="5" customWidth="1"/>
    <col min="1611" max="1792" width="9.42578125" style="5"/>
    <col min="1793" max="1793" width="30.7109375" style="5" customWidth="1"/>
    <col min="1794" max="1794" width="28.7109375" style="5" customWidth="1"/>
    <col min="1795" max="1795" width="31.28515625" style="5" customWidth="1"/>
    <col min="1796" max="1796" width="10.140625" style="5" customWidth="1"/>
    <col min="1797" max="1797" width="34" style="5" customWidth="1"/>
    <col min="1798" max="1798" width="11.28515625" style="5" customWidth="1"/>
    <col min="1799" max="1799" width="3.140625" style="5" customWidth="1"/>
    <col min="1800" max="1800" width="15.28515625" style="5" customWidth="1"/>
    <col min="1801" max="1801" width="13.7109375" style="5" customWidth="1"/>
    <col min="1802" max="1802" width="24.42578125" style="5" customWidth="1"/>
    <col min="1803" max="1838" width="9.42578125" style="5"/>
    <col min="1839" max="1839" width="7" style="5" customWidth="1"/>
    <col min="1840" max="1840" width="23.5703125" style="5" customWidth="1"/>
    <col min="1841" max="1841" width="15" style="5" customWidth="1"/>
    <col min="1842" max="1842" width="29.42578125" style="5" customWidth="1"/>
    <col min="1843" max="1860" width="9.42578125" style="5"/>
    <col min="1861" max="1861" width="12.5703125" style="5" customWidth="1"/>
    <col min="1862" max="1862" width="12.7109375" style="5" customWidth="1"/>
    <col min="1863" max="1863" width="15.5703125" style="5" customWidth="1"/>
    <col min="1864" max="1864" width="11.85546875" style="5" customWidth="1"/>
    <col min="1865" max="1865" width="12.42578125" style="5" customWidth="1"/>
    <col min="1866" max="1866" width="12" style="5" customWidth="1"/>
    <col min="1867" max="2048" width="9.42578125" style="5"/>
    <col min="2049" max="2049" width="30.7109375" style="5" customWidth="1"/>
    <col min="2050" max="2050" width="28.7109375" style="5" customWidth="1"/>
    <col min="2051" max="2051" width="31.28515625" style="5" customWidth="1"/>
    <col min="2052" max="2052" width="10.140625" style="5" customWidth="1"/>
    <col min="2053" max="2053" width="34" style="5" customWidth="1"/>
    <col min="2054" max="2054" width="11.28515625" style="5" customWidth="1"/>
    <col min="2055" max="2055" width="3.140625" style="5" customWidth="1"/>
    <col min="2056" max="2056" width="15.28515625" style="5" customWidth="1"/>
    <col min="2057" max="2057" width="13.7109375" style="5" customWidth="1"/>
    <col min="2058" max="2058" width="24.42578125" style="5" customWidth="1"/>
    <col min="2059" max="2094" width="9.42578125" style="5"/>
    <col min="2095" max="2095" width="7" style="5" customWidth="1"/>
    <col min="2096" max="2096" width="23.5703125" style="5" customWidth="1"/>
    <col min="2097" max="2097" width="15" style="5" customWidth="1"/>
    <col min="2098" max="2098" width="29.42578125" style="5" customWidth="1"/>
    <col min="2099" max="2116" width="9.42578125" style="5"/>
    <col min="2117" max="2117" width="12.5703125" style="5" customWidth="1"/>
    <col min="2118" max="2118" width="12.7109375" style="5" customWidth="1"/>
    <col min="2119" max="2119" width="15.5703125" style="5" customWidth="1"/>
    <col min="2120" max="2120" width="11.85546875" style="5" customWidth="1"/>
    <col min="2121" max="2121" width="12.42578125" style="5" customWidth="1"/>
    <col min="2122" max="2122" width="12" style="5" customWidth="1"/>
    <col min="2123" max="2304" width="9.42578125" style="5"/>
    <col min="2305" max="2305" width="30.7109375" style="5" customWidth="1"/>
    <col min="2306" max="2306" width="28.7109375" style="5" customWidth="1"/>
    <col min="2307" max="2307" width="31.28515625" style="5" customWidth="1"/>
    <col min="2308" max="2308" width="10.140625" style="5" customWidth="1"/>
    <col min="2309" max="2309" width="34" style="5" customWidth="1"/>
    <col min="2310" max="2310" width="11.28515625" style="5" customWidth="1"/>
    <col min="2311" max="2311" width="3.140625" style="5" customWidth="1"/>
    <col min="2312" max="2312" width="15.28515625" style="5" customWidth="1"/>
    <col min="2313" max="2313" width="13.7109375" style="5" customWidth="1"/>
    <col min="2314" max="2314" width="24.42578125" style="5" customWidth="1"/>
    <col min="2315" max="2350" width="9.42578125" style="5"/>
    <col min="2351" max="2351" width="7" style="5" customWidth="1"/>
    <col min="2352" max="2352" width="23.5703125" style="5" customWidth="1"/>
    <col min="2353" max="2353" width="15" style="5" customWidth="1"/>
    <col min="2354" max="2354" width="29.42578125" style="5" customWidth="1"/>
    <col min="2355" max="2372" width="9.42578125" style="5"/>
    <col min="2373" max="2373" width="12.5703125" style="5" customWidth="1"/>
    <col min="2374" max="2374" width="12.7109375" style="5" customWidth="1"/>
    <col min="2375" max="2375" width="15.5703125" style="5" customWidth="1"/>
    <col min="2376" max="2376" width="11.85546875" style="5" customWidth="1"/>
    <col min="2377" max="2377" width="12.42578125" style="5" customWidth="1"/>
    <col min="2378" max="2378" width="12" style="5" customWidth="1"/>
    <col min="2379" max="2560" width="9.42578125" style="5"/>
    <col min="2561" max="2561" width="30.7109375" style="5" customWidth="1"/>
    <col min="2562" max="2562" width="28.7109375" style="5" customWidth="1"/>
    <col min="2563" max="2563" width="31.28515625" style="5" customWidth="1"/>
    <col min="2564" max="2564" width="10.140625" style="5" customWidth="1"/>
    <col min="2565" max="2565" width="34" style="5" customWidth="1"/>
    <col min="2566" max="2566" width="11.28515625" style="5" customWidth="1"/>
    <col min="2567" max="2567" width="3.140625" style="5" customWidth="1"/>
    <col min="2568" max="2568" width="15.28515625" style="5" customWidth="1"/>
    <col min="2569" max="2569" width="13.7109375" style="5" customWidth="1"/>
    <col min="2570" max="2570" width="24.42578125" style="5" customWidth="1"/>
    <col min="2571" max="2606" width="9.42578125" style="5"/>
    <col min="2607" max="2607" width="7" style="5" customWidth="1"/>
    <col min="2608" max="2608" width="23.5703125" style="5" customWidth="1"/>
    <col min="2609" max="2609" width="15" style="5" customWidth="1"/>
    <col min="2610" max="2610" width="29.42578125" style="5" customWidth="1"/>
    <col min="2611" max="2628" width="9.42578125" style="5"/>
    <col min="2629" max="2629" width="12.5703125" style="5" customWidth="1"/>
    <col min="2630" max="2630" width="12.7109375" style="5" customWidth="1"/>
    <col min="2631" max="2631" width="15.5703125" style="5" customWidth="1"/>
    <col min="2632" max="2632" width="11.85546875" style="5" customWidth="1"/>
    <col min="2633" max="2633" width="12.42578125" style="5" customWidth="1"/>
    <col min="2634" max="2634" width="12" style="5" customWidth="1"/>
    <col min="2635" max="2816" width="9.42578125" style="5"/>
    <col min="2817" max="2817" width="30.7109375" style="5" customWidth="1"/>
    <col min="2818" max="2818" width="28.7109375" style="5" customWidth="1"/>
    <col min="2819" max="2819" width="31.28515625" style="5" customWidth="1"/>
    <col min="2820" max="2820" width="10.140625" style="5" customWidth="1"/>
    <col min="2821" max="2821" width="34" style="5" customWidth="1"/>
    <col min="2822" max="2822" width="11.28515625" style="5" customWidth="1"/>
    <col min="2823" max="2823" width="3.140625" style="5" customWidth="1"/>
    <col min="2824" max="2824" width="15.28515625" style="5" customWidth="1"/>
    <col min="2825" max="2825" width="13.7109375" style="5" customWidth="1"/>
    <col min="2826" max="2826" width="24.42578125" style="5" customWidth="1"/>
    <col min="2827" max="2862" width="9.42578125" style="5"/>
    <col min="2863" max="2863" width="7" style="5" customWidth="1"/>
    <col min="2864" max="2864" width="23.5703125" style="5" customWidth="1"/>
    <col min="2865" max="2865" width="15" style="5" customWidth="1"/>
    <col min="2866" max="2866" width="29.42578125" style="5" customWidth="1"/>
    <col min="2867" max="2884" width="9.42578125" style="5"/>
    <col min="2885" max="2885" width="12.5703125" style="5" customWidth="1"/>
    <col min="2886" max="2886" width="12.7109375" style="5" customWidth="1"/>
    <col min="2887" max="2887" width="15.5703125" style="5" customWidth="1"/>
    <col min="2888" max="2888" width="11.85546875" style="5" customWidth="1"/>
    <col min="2889" max="2889" width="12.42578125" style="5" customWidth="1"/>
    <col min="2890" max="2890" width="12" style="5" customWidth="1"/>
    <col min="2891" max="3072" width="9.42578125" style="5"/>
    <col min="3073" max="3073" width="30.7109375" style="5" customWidth="1"/>
    <col min="3074" max="3074" width="28.7109375" style="5" customWidth="1"/>
    <col min="3075" max="3075" width="31.28515625" style="5" customWidth="1"/>
    <col min="3076" max="3076" width="10.140625" style="5" customWidth="1"/>
    <col min="3077" max="3077" width="34" style="5" customWidth="1"/>
    <col min="3078" max="3078" width="11.28515625" style="5" customWidth="1"/>
    <col min="3079" max="3079" width="3.140625" style="5" customWidth="1"/>
    <col min="3080" max="3080" width="15.28515625" style="5" customWidth="1"/>
    <col min="3081" max="3081" width="13.7109375" style="5" customWidth="1"/>
    <col min="3082" max="3082" width="24.42578125" style="5" customWidth="1"/>
    <col min="3083" max="3118" width="9.42578125" style="5"/>
    <col min="3119" max="3119" width="7" style="5" customWidth="1"/>
    <col min="3120" max="3120" width="23.5703125" style="5" customWidth="1"/>
    <col min="3121" max="3121" width="15" style="5" customWidth="1"/>
    <col min="3122" max="3122" width="29.42578125" style="5" customWidth="1"/>
    <col min="3123" max="3140" width="9.42578125" style="5"/>
    <col min="3141" max="3141" width="12.5703125" style="5" customWidth="1"/>
    <col min="3142" max="3142" width="12.7109375" style="5" customWidth="1"/>
    <col min="3143" max="3143" width="15.5703125" style="5" customWidth="1"/>
    <col min="3144" max="3144" width="11.85546875" style="5" customWidth="1"/>
    <col min="3145" max="3145" width="12.42578125" style="5" customWidth="1"/>
    <col min="3146" max="3146" width="12" style="5" customWidth="1"/>
    <col min="3147" max="3328" width="9.42578125" style="5"/>
    <col min="3329" max="3329" width="30.7109375" style="5" customWidth="1"/>
    <col min="3330" max="3330" width="28.7109375" style="5" customWidth="1"/>
    <col min="3331" max="3331" width="31.28515625" style="5" customWidth="1"/>
    <col min="3332" max="3332" width="10.140625" style="5" customWidth="1"/>
    <col min="3333" max="3333" width="34" style="5" customWidth="1"/>
    <col min="3334" max="3334" width="11.28515625" style="5" customWidth="1"/>
    <col min="3335" max="3335" width="3.140625" style="5" customWidth="1"/>
    <col min="3336" max="3336" width="15.28515625" style="5" customWidth="1"/>
    <col min="3337" max="3337" width="13.7109375" style="5" customWidth="1"/>
    <col min="3338" max="3338" width="24.42578125" style="5" customWidth="1"/>
    <col min="3339" max="3374" width="9.42578125" style="5"/>
    <col min="3375" max="3375" width="7" style="5" customWidth="1"/>
    <col min="3376" max="3376" width="23.5703125" style="5" customWidth="1"/>
    <col min="3377" max="3377" width="15" style="5" customWidth="1"/>
    <col min="3378" max="3378" width="29.42578125" style="5" customWidth="1"/>
    <col min="3379" max="3396" width="9.42578125" style="5"/>
    <col min="3397" max="3397" width="12.5703125" style="5" customWidth="1"/>
    <col min="3398" max="3398" width="12.7109375" style="5" customWidth="1"/>
    <col min="3399" max="3399" width="15.5703125" style="5" customWidth="1"/>
    <col min="3400" max="3400" width="11.85546875" style="5" customWidth="1"/>
    <col min="3401" max="3401" width="12.42578125" style="5" customWidth="1"/>
    <col min="3402" max="3402" width="12" style="5" customWidth="1"/>
    <col min="3403" max="3584" width="9.42578125" style="5"/>
    <col min="3585" max="3585" width="30.7109375" style="5" customWidth="1"/>
    <col min="3586" max="3586" width="28.7109375" style="5" customWidth="1"/>
    <col min="3587" max="3587" width="31.28515625" style="5" customWidth="1"/>
    <col min="3588" max="3588" width="10.140625" style="5" customWidth="1"/>
    <col min="3589" max="3589" width="34" style="5" customWidth="1"/>
    <col min="3590" max="3590" width="11.28515625" style="5" customWidth="1"/>
    <col min="3591" max="3591" width="3.140625" style="5" customWidth="1"/>
    <col min="3592" max="3592" width="15.28515625" style="5" customWidth="1"/>
    <col min="3593" max="3593" width="13.7109375" style="5" customWidth="1"/>
    <col min="3594" max="3594" width="24.42578125" style="5" customWidth="1"/>
    <col min="3595" max="3630" width="9.42578125" style="5"/>
    <col min="3631" max="3631" width="7" style="5" customWidth="1"/>
    <col min="3632" max="3632" width="23.5703125" style="5" customWidth="1"/>
    <col min="3633" max="3633" width="15" style="5" customWidth="1"/>
    <col min="3634" max="3634" width="29.42578125" style="5" customWidth="1"/>
    <col min="3635" max="3652" width="9.42578125" style="5"/>
    <col min="3653" max="3653" width="12.5703125" style="5" customWidth="1"/>
    <col min="3654" max="3654" width="12.7109375" style="5" customWidth="1"/>
    <col min="3655" max="3655" width="15.5703125" style="5" customWidth="1"/>
    <col min="3656" max="3656" width="11.85546875" style="5" customWidth="1"/>
    <col min="3657" max="3657" width="12.42578125" style="5" customWidth="1"/>
    <col min="3658" max="3658" width="12" style="5" customWidth="1"/>
    <col min="3659" max="3840" width="9.42578125" style="5"/>
    <col min="3841" max="3841" width="30.7109375" style="5" customWidth="1"/>
    <col min="3842" max="3842" width="28.7109375" style="5" customWidth="1"/>
    <col min="3843" max="3843" width="31.28515625" style="5" customWidth="1"/>
    <col min="3844" max="3844" width="10.140625" style="5" customWidth="1"/>
    <col min="3845" max="3845" width="34" style="5" customWidth="1"/>
    <col min="3846" max="3846" width="11.28515625" style="5" customWidth="1"/>
    <col min="3847" max="3847" width="3.140625" style="5" customWidth="1"/>
    <col min="3848" max="3848" width="15.28515625" style="5" customWidth="1"/>
    <col min="3849" max="3849" width="13.7109375" style="5" customWidth="1"/>
    <col min="3850" max="3850" width="24.42578125" style="5" customWidth="1"/>
    <col min="3851" max="3886" width="9.42578125" style="5"/>
    <col min="3887" max="3887" width="7" style="5" customWidth="1"/>
    <col min="3888" max="3888" width="23.5703125" style="5" customWidth="1"/>
    <col min="3889" max="3889" width="15" style="5" customWidth="1"/>
    <col min="3890" max="3890" width="29.42578125" style="5" customWidth="1"/>
    <col min="3891" max="3908" width="9.42578125" style="5"/>
    <col min="3909" max="3909" width="12.5703125" style="5" customWidth="1"/>
    <col min="3910" max="3910" width="12.7109375" style="5" customWidth="1"/>
    <col min="3911" max="3911" width="15.5703125" style="5" customWidth="1"/>
    <col min="3912" max="3912" width="11.85546875" style="5" customWidth="1"/>
    <col min="3913" max="3913" width="12.42578125" style="5" customWidth="1"/>
    <col min="3914" max="3914" width="12" style="5" customWidth="1"/>
    <col min="3915" max="4096" width="9.42578125" style="5"/>
    <col min="4097" max="4097" width="30.7109375" style="5" customWidth="1"/>
    <col min="4098" max="4098" width="28.7109375" style="5" customWidth="1"/>
    <col min="4099" max="4099" width="31.28515625" style="5" customWidth="1"/>
    <col min="4100" max="4100" width="10.140625" style="5" customWidth="1"/>
    <col min="4101" max="4101" width="34" style="5" customWidth="1"/>
    <col min="4102" max="4102" width="11.28515625" style="5" customWidth="1"/>
    <col min="4103" max="4103" width="3.140625" style="5" customWidth="1"/>
    <col min="4104" max="4104" width="15.28515625" style="5" customWidth="1"/>
    <col min="4105" max="4105" width="13.7109375" style="5" customWidth="1"/>
    <col min="4106" max="4106" width="24.42578125" style="5" customWidth="1"/>
    <col min="4107" max="4142" width="9.42578125" style="5"/>
    <col min="4143" max="4143" width="7" style="5" customWidth="1"/>
    <col min="4144" max="4144" width="23.5703125" style="5" customWidth="1"/>
    <col min="4145" max="4145" width="15" style="5" customWidth="1"/>
    <col min="4146" max="4146" width="29.42578125" style="5" customWidth="1"/>
    <col min="4147" max="4164" width="9.42578125" style="5"/>
    <col min="4165" max="4165" width="12.5703125" style="5" customWidth="1"/>
    <col min="4166" max="4166" width="12.7109375" style="5" customWidth="1"/>
    <col min="4167" max="4167" width="15.5703125" style="5" customWidth="1"/>
    <col min="4168" max="4168" width="11.85546875" style="5" customWidth="1"/>
    <col min="4169" max="4169" width="12.42578125" style="5" customWidth="1"/>
    <col min="4170" max="4170" width="12" style="5" customWidth="1"/>
    <col min="4171" max="4352" width="9.42578125" style="5"/>
    <col min="4353" max="4353" width="30.7109375" style="5" customWidth="1"/>
    <col min="4354" max="4354" width="28.7109375" style="5" customWidth="1"/>
    <col min="4355" max="4355" width="31.28515625" style="5" customWidth="1"/>
    <col min="4356" max="4356" width="10.140625" style="5" customWidth="1"/>
    <col min="4357" max="4357" width="34" style="5" customWidth="1"/>
    <col min="4358" max="4358" width="11.28515625" style="5" customWidth="1"/>
    <col min="4359" max="4359" width="3.140625" style="5" customWidth="1"/>
    <col min="4360" max="4360" width="15.28515625" style="5" customWidth="1"/>
    <col min="4361" max="4361" width="13.7109375" style="5" customWidth="1"/>
    <col min="4362" max="4362" width="24.42578125" style="5" customWidth="1"/>
    <col min="4363" max="4398" width="9.42578125" style="5"/>
    <col min="4399" max="4399" width="7" style="5" customWidth="1"/>
    <col min="4400" max="4400" width="23.5703125" style="5" customWidth="1"/>
    <col min="4401" max="4401" width="15" style="5" customWidth="1"/>
    <col min="4402" max="4402" width="29.42578125" style="5" customWidth="1"/>
    <col min="4403" max="4420" width="9.42578125" style="5"/>
    <col min="4421" max="4421" width="12.5703125" style="5" customWidth="1"/>
    <col min="4422" max="4422" width="12.7109375" style="5" customWidth="1"/>
    <col min="4423" max="4423" width="15.5703125" style="5" customWidth="1"/>
    <col min="4424" max="4424" width="11.85546875" style="5" customWidth="1"/>
    <col min="4425" max="4425" width="12.42578125" style="5" customWidth="1"/>
    <col min="4426" max="4426" width="12" style="5" customWidth="1"/>
    <col min="4427" max="4608" width="9.42578125" style="5"/>
    <col min="4609" max="4609" width="30.7109375" style="5" customWidth="1"/>
    <col min="4610" max="4610" width="28.7109375" style="5" customWidth="1"/>
    <col min="4611" max="4611" width="31.28515625" style="5" customWidth="1"/>
    <col min="4612" max="4612" width="10.140625" style="5" customWidth="1"/>
    <col min="4613" max="4613" width="34" style="5" customWidth="1"/>
    <col min="4614" max="4614" width="11.28515625" style="5" customWidth="1"/>
    <col min="4615" max="4615" width="3.140625" style="5" customWidth="1"/>
    <col min="4616" max="4616" width="15.28515625" style="5" customWidth="1"/>
    <col min="4617" max="4617" width="13.7109375" style="5" customWidth="1"/>
    <col min="4618" max="4618" width="24.42578125" style="5" customWidth="1"/>
    <col min="4619" max="4654" width="9.42578125" style="5"/>
    <col min="4655" max="4655" width="7" style="5" customWidth="1"/>
    <col min="4656" max="4656" width="23.5703125" style="5" customWidth="1"/>
    <col min="4657" max="4657" width="15" style="5" customWidth="1"/>
    <col min="4658" max="4658" width="29.42578125" style="5" customWidth="1"/>
    <col min="4659" max="4676" width="9.42578125" style="5"/>
    <col min="4677" max="4677" width="12.5703125" style="5" customWidth="1"/>
    <col min="4678" max="4678" width="12.7109375" style="5" customWidth="1"/>
    <col min="4679" max="4679" width="15.5703125" style="5" customWidth="1"/>
    <col min="4680" max="4680" width="11.85546875" style="5" customWidth="1"/>
    <col min="4681" max="4681" width="12.42578125" style="5" customWidth="1"/>
    <col min="4682" max="4682" width="12" style="5" customWidth="1"/>
    <col min="4683" max="4864" width="9.42578125" style="5"/>
    <col min="4865" max="4865" width="30.7109375" style="5" customWidth="1"/>
    <col min="4866" max="4866" width="28.7109375" style="5" customWidth="1"/>
    <col min="4867" max="4867" width="31.28515625" style="5" customWidth="1"/>
    <col min="4868" max="4868" width="10.140625" style="5" customWidth="1"/>
    <col min="4869" max="4869" width="34" style="5" customWidth="1"/>
    <col min="4870" max="4870" width="11.28515625" style="5" customWidth="1"/>
    <col min="4871" max="4871" width="3.140625" style="5" customWidth="1"/>
    <col min="4872" max="4872" width="15.28515625" style="5" customWidth="1"/>
    <col min="4873" max="4873" width="13.7109375" style="5" customWidth="1"/>
    <col min="4874" max="4874" width="24.42578125" style="5" customWidth="1"/>
    <col min="4875" max="4910" width="9.42578125" style="5"/>
    <col min="4911" max="4911" width="7" style="5" customWidth="1"/>
    <col min="4912" max="4912" width="23.5703125" style="5" customWidth="1"/>
    <col min="4913" max="4913" width="15" style="5" customWidth="1"/>
    <col min="4914" max="4914" width="29.42578125" style="5" customWidth="1"/>
    <col min="4915" max="4932" width="9.42578125" style="5"/>
    <col min="4933" max="4933" width="12.5703125" style="5" customWidth="1"/>
    <col min="4934" max="4934" width="12.7109375" style="5" customWidth="1"/>
    <col min="4935" max="4935" width="15.5703125" style="5" customWidth="1"/>
    <col min="4936" max="4936" width="11.85546875" style="5" customWidth="1"/>
    <col min="4937" max="4937" width="12.42578125" style="5" customWidth="1"/>
    <col min="4938" max="4938" width="12" style="5" customWidth="1"/>
    <col min="4939" max="5120" width="9.42578125" style="5"/>
    <col min="5121" max="5121" width="30.7109375" style="5" customWidth="1"/>
    <col min="5122" max="5122" width="28.7109375" style="5" customWidth="1"/>
    <col min="5123" max="5123" width="31.28515625" style="5" customWidth="1"/>
    <col min="5124" max="5124" width="10.140625" style="5" customWidth="1"/>
    <col min="5125" max="5125" width="34" style="5" customWidth="1"/>
    <col min="5126" max="5126" width="11.28515625" style="5" customWidth="1"/>
    <col min="5127" max="5127" width="3.140625" style="5" customWidth="1"/>
    <col min="5128" max="5128" width="15.28515625" style="5" customWidth="1"/>
    <col min="5129" max="5129" width="13.7109375" style="5" customWidth="1"/>
    <col min="5130" max="5130" width="24.42578125" style="5" customWidth="1"/>
    <col min="5131" max="5166" width="9.42578125" style="5"/>
    <col min="5167" max="5167" width="7" style="5" customWidth="1"/>
    <col min="5168" max="5168" width="23.5703125" style="5" customWidth="1"/>
    <col min="5169" max="5169" width="15" style="5" customWidth="1"/>
    <col min="5170" max="5170" width="29.42578125" style="5" customWidth="1"/>
    <col min="5171" max="5188" width="9.42578125" style="5"/>
    <col min="5189" max="5189" width="12.5703125" style="5" customWidth="1"/>
    <col min="5190" max="5190" width="12.7109375" style="5" customWidth="1"/>
    <col min="5191" max="5191" width="15.5703125" style="5" customWidth="1"/>
    <col min="5192" max="5192" width="11.85546875" style="5" customWidth="1"/>
    <col min="5193" max="5193" width="12.42578125" style="5" customWidth="1"/>
    <col min="5194" max="5194" width="12" style="5" customWidth="1"/>
    <col min="5195" max="5376" width="9.42578125" style="5"/>
    <col min="5377" max="5377" width="30.7109375" style="5" customWidth="1"/>
    <col min="5378" max="5378" width="28.7109375" style="5" customWidth="1"/>
    <col min="5379" max="5379" width="31.28515625" style="5" customWidth="1"/>
    <col min="5380" max="5380" width="10.140625" style="5" customWidth="1"/>
    <col min="5381" max="5381" width="34" style="5" customWidth="1"/>
    <col min="5382" max="5382" width="11.28515625" style="5" customWidth="1"/>
    <col min="5383" max="5383" width="3.140625" style="5" customWidth="1"/>
    <col min="5384" max="5384" width="15.28515625" style="5" customWidth="1"/>
    <col min="5385" max="5385" width="13.7109375" style="5" customWidth="1"/>
    <col min="5386" max="5386" width="24.42578125" style="5" customWidth="1"/>
    <col min="5387" max="5422" width="9.42578125" style="5"/>
    <col min="5423" max="5423" width="7" style="5" customWidth="1"/>
    <col min="5424" max="5424" width="23.5703125" style="5" customWidth="1"/>
    <col min="5425" max="5425" width="15" style="5" customWidth="1"/>
    <col min="5426" max="5426" width="29.42578125" style="5" customWidth="1"/>
    <col min="5427" max="5444" width="9.42578125" style="5"/>
    <col min="5445" max="5445" width="12.5703125" style="5" customWidth="1"/>
    <col min="5446" max="5446" width="12.7109375" style="5" customWidth="1"/>
    <col min="5447" max="5447" width="15.5703125" style="5" customWidth="1"/>
    <col min="5448" max="5448" width="11.85546875" style="5" customWidth="1"/>
    <col min="5449" max="5449" width="12.42578125" style="5" customWidth="1"/>
    <col min="5450" max="5450" width="12" style="5" customWidth="1"/>
    <col min="5451" max="5632" width="9.42578125" style="5"/>
    <col min="5633" max="5633" width="30.7109375" style="5" customWidth="1"/>
    <col min="5634" max="5634" width="28.7109375" style="5" customWidth="1"/>
    <col min="5635" max="5635" width="31.28515625" style="5" customWidth="1"/>
    <col min="5636" max="5636" width="10.140625" style="5" customWidth="1"/>
    <col min="5637" max="5637" width="34" style="5" customWidth="1"/>
    <col min="5638" max="5638" width="11.28515625" style="5" customWidth="1"/>
    <col min="5639" max="5639" width="3.140625" style="5" customWidth="1"/>
    <col min="5640" max="5640" width="15.28515625" style="5" customWidth="1"/>
    <col min="5641" max="5641" width="13.7109375" style="5" customWidth="1"/>
    <col min="5642" max="5642" width="24.42578125" style="5" customWidth="1"/>
    <col min="5643" max="5678" width="9.42578125" style="5"/>
    <col min="5679" max="5679" width="7" style="5" customWidth="1"/>
    <col min="5680" max="5680" width="23.5703125" style="5" customWidth="1"/>
    <col min="5681" max="5681" width="15" style="5" customWidth="1"/>
    <col min="5682" max="5682" width="29.42578125" style="5" customWidth="1"/>
    <col min="5683" max="5700" width="9.42578125" style="5"/>
    <col min="5701" max="5701" width="12.5703125" style="5" customWidth="1"/>
    <col min="5702" max="5702" width="12.7109375" style="5" customWidth="1"/>
    <col min="5703" max="5703" width="15.5703125" style="5" customWidth="1"/>
    <col min="5704" max="5704" width="11.85546875" style="5" customWidth="1"/>
    <col min="5705" max="5705" width="12.42578125" style="5" customWidth="1"/>
    <col min="5706" max="5706" width="12" style="5" customWidth="1"/>
    <col min="5707" max="5888" width="9.42578125" style="5"/>
    <col min="5889" max="5889" width="30.7109375" style="5" customWidth="1"/>
    <col min="5890" max="5890" width="28.7109375" style="5" customWidth="1"/>
    <col min="5891" max="5891" width="31.28515625" style="5" customWidth="1"/>
    <col min="5892" max="5892" width="10.140625" style="5" customWidth="1"/>
    <col min="5893" max="5893" width="34" style="5" customWidth="1"/>
    <col min="5894" max="5894" width="11.28515625" style="5" customWidth="1"/>
    <col min="5895" max="5895" width="3.140625" style="5" customWidth="1"/>
    <col min="5896" max="5896" width="15.28515625" style="5" customWidth="1"/>
    <col min="5897" max="5897" width="13.7109375" style="5" customWidth="1"/>
    <col min="5898" max="5898" width="24.42578125" style="5" customWidth="1"/>
    <col min="5899" max="5934" width="9.42578125" style="5"/>
    <col min="5935" max="5935" width="7" style="5" customWidth="1"/>
    <col min="5936" max="5936" width="23.5703125" style="5" customWidth="1"/>
    <col min="5937" max="5937" width="15" style="5" customWidth="1"/>
    <col min="5938" max="5938" width="29.42578125" style="5" customWidth="1"/>
    <col min="5939" max="5956" width="9.42578125" style="5"/>
    <col min="5957" max="5957" width="12.5703125" style="5" customWidth="1"/>
    <col min="5958" max="5958" width="12.7109375" style="5" customWidth="1"/>
    <col min="5959" max="5959" width="15.5703125" style="5" customWidth="1"/>
    <col min="5960" max="5960" width="11.85546875" style="5" customWidth="1"/>
    <col min="5961" max="5961" width="12.42578125" style="5" customWidth="1"/>
    <col min="5962" max="5962" width="12" style="5" customWidth="1"/>
    <col min="5963" max="6144" width="9.42578125" style="5"/>
    <col min="6145" max="6145" width="30.7109375" style="5" customWidth="1"/>
    <col min="6146" max="6146" width="28.7109375" style="5" customWidth="1"/>
    <col min="6147" max="6147" width="31.28515625" style="5" customWidth="1"/>
    <col min="6148" max="6148" width="10.140625" style="5" customWidth="1"/>
    <col min="6149" max="6149" width="34" style="5" customWidth="1"/>
    <col min="6150" max="6150" width="11.28515625" style="5" customWidth="1"/>
    <col min="6151" max="6151" width="3.140625" style="5" customWidth="1"/>
    <col min="6152" max="6152" width="15.28515625" style="5" customWidth="1"/>
    <col min="6153" max="6153" width="13.7109375" style="5" customWidth="1"/>
    <col min="6154" max="6154" width="24.42578125" style="5" customWidth="1"/>
    <col min="6155" max="6190" width="9.42578125" style="5"/>
    <col min="6191" max="6191" width="7" style="5" customWidth="1"/>
    <col min="6192" max="6192" width="23.5703125" style="5" customWidth="1"/>
    <col min="6193" max="6193" width="15" style="5" customWidth="1"/>
    <col min="6194" max="6194" width="29.42578125" style="5" customWidth="1"/>
    <col min="6195" max="6212" width="9.42578125" style="5"/>
    <col min="6213" max="6213" width="12.5703125" style="5" customWidth="1"/>
    <col min="6214" max="6214" width="12.7109375" style="5" customWidth="1"/>
    <col min="6215" max="6215" width="15.5703125" style="5" customWidth="1"/>
    <col min="6216" max="6216" width="11.85546875" style="5" customWidth="1"/>
    <col min="6217" max="6217" width="12.42578125" style="5" customWidth="1"/>
    <col min="6218" max="6218" width="12" style="5" customWidth="1"/>
    <col min="6219" max="6400" width="9.42578125" style="5"/>
    <col min="6401" max="6401" width="30.7109375" style="5" customWidth="1"/>
    <col min="6402" max="6402" width="28.7109375" style="5" customWidth="1"/>
    <col min="6403" max="6403" width="31.28515625" style="5" customWidth="1"/>
    <col min="6404" max="6404" width="10.140625" style="5" customWidth="1"/>
    <col min="6405" max="6405" width="34" style="5" customWidth="1"/>
    <col min="6406" max="6406" width="11.28515625" style="5" customWidth="1"/>
    <col min="6407" max="6407" width="3.140625" style="5" customWidth="1"/>
    <col min="6408" max="6408" width="15.28515625" style="5" customWidth="1"/>
    <col min="6409" max="6409" width="13.7109375" style="5" customWidth="1"/>
    <col min="6410" max="6410" width="24.42578125" style="5" customWidth="1"/>
    <col min="6411" max="6446" width="9.42578125" style="5"/>
    <col min="6447" max="6447" width="7" style="5" customWidth="1"/>
    <col min="6448" max="6448" width="23.5703125" style="5" customWidth="1"/>
    <col min="6449" max="6449" width="15" style="5" customWidth="1"/>
    <col min="6450" max="6450" width="29.42578125" style="5" customWidth="1"/>
    <col min="6451" max="6468" width="9.42578125" style="5"/>
    <col min="6469" max="6469" width="12.5703125" style="5" customWidth="1"/>
    <col min="6470" max="6470" width="12.7109375" style="5" customWidth="1"/>
    <col min="6471" max="6471" width="15.5703125" style="5" customWidth="1"/>
    <col min="6472" max="6472" width="11.85546875" style="5" customWidth="1"/>
    <col min="6473" max="6473" width="12.42578125" style="5" customWidth="1"/>
    <col min="6474" max="6474" width="12" style="5" customWidth="1"/>
    <col min="6475" max="6656" width="9.42578125" style="5"/>
    <col min="6657" max="6657" width="30.7109375" style="5" customWidth="1"/>
    <col min="6658" max="6658" width="28.7109375" style="5" customWidth="1"/>
    <col min="6659" max="6659" width="31.28515625" style="5" customWidth="1"/>
    <col min="6660" max="6660" width="10.140625" style="5" customWidth="1"/>
    <col min="6661" max="6661" width="34" style="5" customWidth="1"/>
    <col min="6662" max="6662" width="11.28515625" style="5" customWidth="1"/>
    <col min="6663" max="6663" width="3.140625" style="5" customWidth="1"/>
    <col min="6664" max="6664" width="15.28515625" style="5" customWidth="1"/>
    <col min="6665" max="6665" width="13.7109375" style="5" customWidth="1"/>
    <col min="6666" max="6666" width="24.42578125" style="5" customWidth="1"/>
    <col min="6667" max="6702" width="9.42578125" style="5"/>
    <col min="6703" max="6703" width="7" style="5" customWidth="1"/>
    <col min="6704" max="6704" width="23.5703125" style="5" customWidth="1"/>
    <col min="6705" max="6705" width="15" style="5" customWidth="1"/>
    <col min="6706" max="6706" width="29.42578125" style="5" customWidth="1"/>
    <col min="6707" max="6724" width="9.42578125" style="5"/>
    <col min="6725" max="6725" width="12.5703125" style="5" customWidth="1"/>
    <col min="6726" max="6726" width="12.7109375" style="5" customWidth="1"/>
    <col min="6727" max="6727" width="15.5703125" style="5" customWidth="1"/>
    <col min="6728" max="6728" width="11.85546875" style="5" customWidth="1"/>
    <col min="6729" max="6729" width="12.42578125" style="5" customWidth="1"/>
    <col min="6730" max="6730" width="12" style="5" customWidth="1"/>
    <col min="6731" max="6912" width="9.42578125" style="5"/>
    <col min="6913" max="6913" width="30.7109375" style="5" customWidth="1"/>
    <col min="6914" max="6914" width="28.7109375" style="5" customWidth="1"/>
    <col min="6915" max="6915" width="31.28515625" style="5" customWidth="1"/>
    <col min="6916" max="6916" width="10.140625" style="5" customWidth="1"/>
    <col min="6917" max="6917" width="34" style="5" customWidth="1"/>
    <col min="6918" max="6918" width="11.28515625" style="5" customWidth="1"/>
    <col min="6919" max="6919" width="3.140625" style="5" customWidth="1"/>
    <col min="6920" max="6920" width="15.28515625" style="5" customWidth="1"/>
    <col min="6921" max="6921" width="13.7109375" style="5" customWidth="1"/>
    <col min="6922" max="6922" width="24.42578125" style="5" customWidth="1"/>
    <col min="6923" max="6958" width="9.42578125" style="5"/>
    <col min="6959" max="6959" width="7" style="5" customWidth="1"/>
    <col min="6960" max="6960" width="23.5703125" style="5" customWidth="1"/>
    <col min="6961" max="6961" width="15" style="5" customWidth="1"/>
    <col min="6962" max="6962" width="29.42578125" style="5" customWidth="1"/>
    <col min="6963" max="6980" width="9.42578125" style="5"/>
    <col min="6981" max="6981" width="12.5703125" style="5" customWidth="1"/>
    <col min="6982" max="6982" width="12.7109375" style="5" customWidth="1"/>
    <col min="6983" max="6983" width="15.5703125" style="5" customWidth="1"/>
    <col min="6984" max="6984" width="11.85546875" style="5" customWidth="1"/>
    <col min="6985" max="6985" width="12.42578125" style="5" customWidth="1"/>
    <col min="6986" max="6986" width="12" style="5" customWidth="1"/>
    <col min="6987" max="7168" width="9.42578125" style="5"/>
    <col min="7169" max="7169" width="30.7109375" style="5" customWidth="1"/>
    <col min="7170" max="7170" width="28.7109375" style="5" customWidth="1"/>
    <col min="7171" max="7171" width="31.28515625" style="5" customWidth="1"/>
    <col min="7172" max="7172" width="10.140625" style="5" customWidth="1"/>
    <col min="7173" max="7173" width="34" style="5" customWidth="1"/>
    <col min="7174" max="7174" width="11.28515625" style="5" customWidth="1"/>
    <col min="7175" max="7175" width="3.140625" style="5" customWidth="1"/>
    <col min="7176" max="7176" width="15.28515625" style="5" customWidth="1"/>
    <col min="7177" max="7177" width="13.7109375" style="5" customWidth="1"/>
    <col min="7178" max="7178" width="24.42578125" style="5" customWidth="1"/>
    <col min="7179" max="7214" width="9.42578125" style="5"/>
    <col min="7215" max="7215" width="7" style="5" customWidth="1"/>
    <col min="7216" max="7216" width="23.5703125" style="5" customWidth="1"/>
    <col min="7217" max="7217" width="15" style="5" customWidth="1"/>
    <col min="7218" max="7218" width="29.42578125" style="5" customWidth="1"/>
    <col min="7219" max="7236" width="9.42578125" style="5"/>
    <col min="7237" max="7237" width="12.5703125" style="5" customWidth="1"/>
    <col min="7238" max="7238" width="12.7109375" style="5" customWidth="1"/>
    <col min="7239" max="7239" width="15.5703125" style="5" customWidth="1"/>
    <col min="7240" max="7240" width="11.85546875" style="5" customWidth="1"/>
    <col min="7241" max="7241" width="12.42578125" style="5" customWidth="1"/>
    <col min="7242" max="7242" width="12" style="5" customWidth="1"/>
    <col min="7243" max="7424" width="9.42578125" style="5"/>
    <col min="7425" max="7425" width="30.7109375" style="5" customWidth="1"/>
    <col min="7426" max="7426" width="28.7109375" style="5" customWidth="1"/>
    <col min="7427" max="7427" width="31.28515625" style="5" customWidth="1"/>
    <col min="7428" max="7428" width="10.140625" style="5" customWidth="1"/>
    <col min="7429" max="7429" width="34" style="5" customWidth="1"/>
    <col min="7430" max="7430" width="11.28515625" style="5" customWidth="1"/>
    <col min="7431" max="7431" width="3.140625" style="5" customWidth="1"/>
    <col min="7432" max="7432" width="15.28515625" style="5" customWidth="1"/>
    <col min="7433" max="7433" width="13.7109375" style="5" customWidth="1"/>
    <col min="7434" max="7434" width="24.42578125" style="5" customWidth="1"/>
    <col min="7435" max="7470" width="9.42578125" style="5"/>
    <col min="7471" max="7471" width="7" style="5" customWidth="1"/>
    <col min="7472" max="7472" width="23.5703125" style="5" customWidth="1"/>
    <col min="7473" max="7473" width="15" style="5" customWidth="1"/>
    <col min="7474" max="7474" width="29.42578125" style="5" customWidth="1"/>
    <col min="7475" max="7492" width="9.42578125" style="5"/>
    <col min="7493" max="7493" width="12.5703125" style="5" customWidth="1"/>
    <col min="7494" max="7494" width="12.7109375" style="5" customWidth="1"/>
    <col min="7495" max="7495" width="15.5703125" style="5" customWidth="1"/>
    <col min="7496" max="7496" width="11.85546875" style="5" customWidth="1"/>
    <col min="7497" max="7497" width="12.42578125" style="5" customWidth="1"/>
    <col min="7498" max="7498" width="12" style="5" customWidth="1"/>
    <col min="7499" max="7680" width="9.42578125" style="5"/>
    <col min="7681" max="7681" width="30.7109375" style="5" customWidth="1"/>
    <col min="7682" max="7682" width="28.7109375" style="5" customWidth="1"/>
    <col min="7683" max="7683" width="31.28515625" style="5" customWidth="1"/>
    <col min="7684" max="7684" width="10.140625" style="5" customWidth="1"/>
    <col min="7685" max="7685" width="34" style="5" customWidth="1"/>
    <col min="7686" max="7686" width="11.28515625" style="5" customWidth="1"/>
    <col min="7687" max="7687" width="3.140625" style="5" customWidth="1"/>
    <col min="7688" max="7688" width="15.28515625" style="5" customWidth="1"/>
    <col min="7689" max="7689" width="13.7109375" style="5" customWidth="1"/>
    <col min="7690" max="7690" width="24.42578125" style="5" customWidth="1"/>
    <col min="7691" max="7726" width="9.42578125" style="5"/>
    <col min="7727" max="7727" width="7" style="5" customWidth="1"/>
    <col min="7728" max="7728" width="23.5703125" style="5" customWidth="1"/>
    <col min="7729" max="7729" width="15" style="5" customWidth="1"/>
    <col min="7730" max="7730" width="29.42578125" style="5" customWidth="1"/>
    <col min="7731" max="7748" width="9.42578125" style="5"/>
    <col min="7749" max="7749" width="12.5703125" style="5" customWidth="1"/>
    <col min="7750" max="7750" width="12.7109375" style="5" customWidth="1"/>
    <col min="7751" max="7751" width="15.5703125" style="5" customWidth="1"/>
    <col min="7752" max="7752" width="11.85546875" style="5" customWidth="1"/>
    <col min="7753" max="7753" width="12.42578125" style="5" customWidth="1"/>
    <col min="7754" max="7754" width="12" style="5" customWidth="1"/>
    <col min="7755" max="7936" width="9.42578125" style="5"/>
    <col min="7937" max="7937" width="30.7109375" style="5" customWidth="1"/>
    <col min="7938" max="7938" width="28.7109375" style="5" customWidth="1"/>
    <col min="7939" max="7939" width="31.28515625" style="5" customWidth="1"/>
    <col min="7940" max="7940" width="10.140625" style="5" customWidth="1"/>
    <col min="7941" max="7941" width="34" style="5" customWidth="1"/>
    <col min="7942" max="7942" width="11.28515625" style="5" customWidth="1"/>
    <col min="7943" max="7943" width="3.140625" style="5" customWidth="1"/>
    <col min="7944" max="7944" width="15.28515625" style="5" customWidth="1"/>
    <col min="7945" max="7945" width="13.7109375" style="5" customWidth="1"/>
    <col min="7946" max="7946" width="24.42578125" style="5" customWidth="1"/>
    <col min="7947" max="7982" width="9.42578125" style="5"/>
    <col min="7983" max="7983" width="7" style="5" customWidth="1"/>
    <col min="7984" max="7984" width="23.5703125" style="5" customWidth="1"/>
    <col min="7985" max="7985" width="15" style="5" customWidth="1"/>
    <col min="7986" max="7986" width="29.42578125" style="5" customWidth="1"/>
    <col min="7987" max="8004" width="9.42578125" style="5"/>
    <col min="8005" max="8005" width="12.5703125" style="5" customWidth="1"/>
    <col min="8006" max="8006" width="12.7109375" style="5" customWidth="1"/>
    <col min="8007" max="8007" width="15.5703125" style="5" customWidth="1"/>
    <col min="8008" max="8008" width="11.85546875" style="5" customWidth="1"/>
    <col min="8009" max="8009" width="12.42578125" style="5" customWidth="1"/>
    <col min="8010" max="8010" width="12" style="5" customWidth="1"/>
    <col min="8011" max="8192" width="9.42578125" style="5"/>
    <col min="8193" max="8193" width="30.7109375" style="5" customWidth="1"/>
    <col min="8194" max="8194" width="28.7109375" style="5" customWidth="1"/>
    <col min="8195" max="8195" width="31.28515625" style="5" customWidth="1"/>
    <col min="8196" max="8196" width="10.140625" style="5" customWidth="1"/>
    <col min="8197" max="8197" width="34" style="5" customWidth="1"/>
    <col min="8198" max="8198" width="11.28515625" style="5" customWidth="1"/>
    <col min="8199" max="8199" width="3.140625" style="5" customWidth="1"/>
    <col min="8200" max="8200" width="15.28515625" style="5" customWidth="1"/>
    <col min="8201" max="8201" width="13.7109375" style="5" customWidth="1"/>
    <col min="8202" max="8202" width="24.42578125" style="5" customWidth="1"/>
    <col min="8203" max="8238" width="9.42578125" style="5"/>
    <col min="8239" max="8239" width="7" style="5" customWidth="1"/>
    <col min="8240" max="8240" width="23.5703125" style="5" customWidth="1"/>
    <col min="8241" max="8241" width="15" style="5" customWidth="1"/>
    <col min="8242" max="8242" width="29.42578125" style="5" customWidth="1"/>
    <col min="8243" max="8260" width="9.42578125" style="5"/>
    <col min="8261" max="8261" width="12.5703125" style="5" customWidth="1"/>
    <col min="8262" max="8262" width="12.7109375" style="5" customWidth="1"/>
    <col min="8263" max="8263" width="15.5703125" style="5" customWidth="1"/>
    <col min="8264" max="8264" width="11.85546875" style="5" customWidth="1"/>
    <col min="8265" max="8265" width="12.42578125" style="5" customWidth="1"/>
    <col min="8266" max="8266" width="12" style="5" customWidth="1"/>
    <col min="8267" max="8448" width="9.42578125" style="5"/>
    <col min="8449" max="8449" width="30.7109375" style="5" customWidth="1"/>
    <col min="8450" max="8450" width="28.7109375" style="5" customWidth="1"/>
    <col min="8451" max="8451" width="31.28515625" style="5" customWidth="1"/>
    <col min="8452" max="8452" width="10.140625" style="5" customWidth="1"/>
    <col min="8453" max="8453" width="34" style="5" customWidth="1"/>
    <col min="8454" max="8454" width="11.28515625" style="5" customWidth="1"/>
    <col min="8455" max="8455" width="3.140625" style="5" customWidth="1"/>
    <col min="8456" max="8456" width="15.28515625" style="5" customWidth="1"/>
    <col min="8457" max="8457" width="13.7109375" style="5" customWidth="1"/>
    <col min="8458" max="8458" width="24.42578125" style="5" customWidth="1"/>
    <col min="8459" max="8494" width="9.42578125" style="5"/>
    <col min="8495" max="8495" width="7" style="5" customWidth="1"/>
    <col min="8496" max="8496" width="23.5703125" style="5" customWidth="1"/>
    <col min="8497" max="8497" width="15" style="5" customWidth="1"/>
    <col min="8498" max="8498" width="29.42578125" style="5" customWidth="1"/>
    <col min="8499" max="8516" width="9.42578125" style="5"/>
    <col min="8517" max="8517" width="12.5703125" style="5" customWidth="1"/>
    <col min="8518" max="8518" width="12.7109375" style="5" customWidth="1"/>
    <col min="8519" max="8519" width="15.5703125" style="5" customWidth="1"/>
    <col min="8520" max="8520" width="11.85546875" style="5" customWidth="1"/>
    <col min="8521" max="8521" width="12.42578125" style="5" customWidth="1"/>
    <col min="8522" max="8522" width="12" style="5" customWidth="1"/>
    <col min="8523" max="8704" width="9.42578125" style="5"/>
    <col min="8705" max="8705" width="30.7109375" style="5" customWidth="1"/>
    <col min="8706" max="8706" width="28.7109375" style="5" customWidth="1"/>
    <col min="8707" max="8707" width="31.28515625" style="5" customWidth="1"/>
    <col min="8708" max="8708" width="10.140625" style="5" customWidth="1"/>
    <col min="8709" max="8709" width="34" style="5" customWidth="1"/>
    <col min="8710" max="8710" width="11.28515625" style="5" customWidth="1"/>
    <col min="8711" max="8711" width="3.140625" style="5" customWidth="1"/>
    <col min="8712" max="8712" width="15.28515625" style="5" customWidth="1"/>
    <col min="8713" max="8713" width="13.7109375" style="5" customWidth="1"/>
    <col min="8714" max="8714" width="24.42578125" style="5" customWidth="1"/>
    <col min="8715" max="8750" width="9.42578125" style="5"/>
    <col min="8751" max="8751" width="7" style="5" customWidth="1"/>
    <col min="8752" max="8752" width="23.5703125" style="5" customWidth="1"/>
    <col min="8753" max="8753" width="15" style="5" customWidth="1"/>
    <col min="8754" max="8754" width="29.42578125" style="5" customWidth="1"/>
    <col min="8755" max="8772" width="9.42578125" style="5"/>
    <col min="8773" max="8773" width="12.5703125" style="5" customWidth="1"/>
    <col min="8774" max="8774" width="12.7109375" style="5" customWidth="1"/>
    <col min="8775" max="8775" width="15.5703125" style="5" customWidth="1"/>
    <col min="8776" max="8776" width="11.85546875" style="5" customWidth="1"/>
    <col min="8777" max="8777" width="12.42578125" style="5" customWidth="1"/>
    <col min="8778" max="8778" width="12" style="5" customWidth="1"/>
    <col min="8779" max="8960" width="9.42578125" style="5"/>
    <col min="8961" max="8961" width="30.7109375" style="5" customWidth="1"/>
    <col min="8962" max="8962" width="28.7109375" style="5" customWidth="1"/>
    <col min="8963" max="8963" width="31.28515625" style="5" customWidth="1"/>
    <col min="8964" max="8964" width="10.140625" style="5" customWidth="1"/>
    <col min="8965" max="8965" width="34" style="5" customWidth="1"/>
    <col min="8966" max="8966" width="11.28515625" style="5" customWidth="1"/>
    <col min="8967" max="8967" width="3.140625" style="5" customWidth="1"/>
    <col min="8968" max="8968" width="15.28515625" style="5" customWidth="1"/>
    <col min="8969" max="8969" width="13.7109375" style="5" customWidth="1"/>
    <col min="8970" max="8970" width="24.42578125" style="5" customWidth="1"/>
    <col min="8971" max="9006" width="9.42578125" style="5"/>
    <col min="9007" max="9007" width="7" style="5" customWidth="1"/>
    <col min="9008" max="9008" width="23.5703125" style="5" customWidth="1"/>
    <col min="9009" max="9009" width="15" style="5" customWidth="1"/>
    <col min="9010" max="9010" width="29.42578125" style="5" customWidth="1"/>
    <col min="9011" max="9028" width="9.42578125" style="5"/>
    <col min="9029" max="9029" width="12.5703125" style="5" customWidth="1"/>
    <col min="9030" max="9030" width="12.7109375" style="5" customWidth="1"/>
    <col min="9031" max="9031" width="15.5703125" style="5" customWidth="1"/>
    <col min="9032" max="9032" width="11.85546875" style="5" customWidth="1"/>
    <col min="9033" max="9033" width="12.42578125" style="5" customWidth="1"/>
    <col min="9034" max="9034" width="12" style="5" customWidth="1"/>
    <col min="9035" max="9216" width="9.42578125" style="5"/>
    <col min="9217" max="9217" width="30.7109375" style="5" customWidth="1"/>
    <col min="9218" max="9218" width="28.7109375" style="5" customWidth="1"/>
    <col min="9219" max="9219" width="31.28515625" style="5" customWidth="1"/>
    <col min="9220" max="9220" width="10.140625" style="5" customWidth="1"/>
    <col min="9221" max="9221" width="34" style="5" customWidth="1"/>
    <col min="9222" max="9222" width="11.28515625" style="5" customWidth="1"/>
    <col min="9223" max="9223" width="3.140625" style="5" customWidth="1"/>
    <col min="9224" max="9224" width="15.28515625" style="5" customWidth="1"/>
    <col min="9225" max="9225" width="13.7109375" style="5" customWidth="1"/>
    <col min="9226" max="9226" width="24.42578125" style="5" customWidth="1"/>
    <col min="9227" max="9262" width="9.42578125" style="5"/>
    <col min="9263" max="9263" width="7" style="5" customWidth="1"/>
    <col min="9264" max="9264" width="23.5703125" style="5" customWidth="1"/>
    <col min="9265" max="9265" width="15" style="5" customWidth="1"/>
    <col min="9266" max="9266" width="29.42578125" style="5" customWidth="1"/>
    <col min="9267" max="9284" width="9.42578125" style="5"/>
    <col min="9285" max="9285" width="12.5703125" style="5" customWidth="1"/>
    <col min="9286" max="9286" width="12.7109375" style="5" customWidth="1"/>
    <col min="9287" max="9287" width="15.5703125" style="5" customWidth="1"/>
    <col min="9288" max="9288" width="11.85546875" style="5" customWidth="1"/>
    <col min="9289" max="9289" width="12.42578125" style="5" customWidth="1"/>
    <col min="9290" max="9290" width="12" style="5" customWidth="1"/>
    <col min="9291" max="9472" width="9.42578125" style="5"/>
    <col min="9473" max="9473" width="30.7109375" style="5" customWidth="1"/>
    <col min="9474" max="9474" width="28.7109375" style="5" customWidth="1"/>
    <col min="9475" max="9475" width="31.28515625" style="5" customWidth="1"/>
    <col min="9476" max="9476" width="10.140625" style="5" customWidth="1"/>
    <col min="9477" max="9477" width="34" style="5" customWidth="1"/>
    <col min="9478" max="9478" width="11.28515625" style="5" customWidth="1"/>
    <col min="9479" max="9479" width="3.140625" style="5" customWidth="1"/>
    <col min="9480" max="9480" width="15.28515625" style="5" customWidth="1"/>
    <col min="9481" max="9481" width="13.7109375" style="5" customWidth="1"/>
    <col min="9482" max="9482" width="24.42578125" style="5" customWidth="1"/>
    <col min="9483" max="9518" width="9.42578125" style="5"/>
    <col min="9519" max="9519" width="7" style="5" customWidth="1"/>
    <col min="9520" max="9520" width="23.5703125" style="5" customWidth="1"/>
    <col min="9521" max="9521" width="15" style="5" customWidth="1"/>
    <col min="9522" max="9522" width="29.42578125" style="5" customWidth="1"/>
    <col min="9523" max="9540" width="9.42578125" style="5"/>
    <col min="9541" max="9541" width="12.5703125" style="5" customWidth="1"/>
    <col min="9542" max="9542" width="12.7109375" style="5" customWidth="1"/>
    <col min="9543" max="9543" width="15.5703125" style="5" customWidth="1"/>
    <col min="9544" max="9544" width="11.85546875" style="5" customWidth="1"/>
    <col min="9545" max="9545" width="12.42578125" style="5" customWidth="1"/>
    <col min="9546" max="9546" width="12" style="5" customWidth="1"/>
    <col min="9547" max="9728" width="9.42578125" style="5"/>
    <col min="9729" max="9729" width="30.7109375" style="5" customWidth="1"/>
    <col min="9730" max="9730" width="28.7109375" style="5" customWidth="1"/>
    <col min="9731" max="9731" width="31.28515625" style="5" customWidth="1"/>
    <col min="9732" max="9732" width="10.140625" style="5" customWidth="1"/>
    <col min="9733" max="9733" width="34" style="5" customWidth="1"/>
    <col min="9734" max="9734" width="11.28515625" style="5" customWidth="1"/>
    <col min="9735" max="9735" width="3.140625" style="5" customWidth="1"/>
    <col min="9736" max="9736" width="15.28515625" style="5" customWidth="1"/>
    <col min="9737" max="9737" width="13.7109375" style="5" customWidth="1"/>
    <col min="9738" max="9738" width="24.42578125" style="5" customWidth="1"/>
    <col min="9739" max="9774" width="9.42578125" style="5"/>
    <col min="9775" max="9775" width="7" style="5" customWidth="1"/>
    <col min="9776" max="9776" width="23.5703125" style="5" customWidth="1"/>
    <col min="9777" max="9777" width="15" style="5" customWidth="1"/>
    <col min="9778" max="9778" width="29.42578125" style="5" customWidth="1"/>
    <col min="9779" max="9796" width="9.42578125" style="5"/>
    <col min="9797" max="9797" width="12.5703125" style="5" customWidth="1"/>
    <col min="9798" max="9798" width="12.7109375" style="5" customWidth="1"/>
    <col min="9799" max="9799" width="15.5703125" style="5" customWidth="1"/>
    <col min="9800" max="9800" width="11.85546875" style="5" customWidth="1"/>
    <col min="9801" max="9801" width="12.42578125" style="5" customWidth="1"/>
    <col min="9802" max="9802" width="12" style="5" customWidth="1"/>
    <col min="9803" max="9984" width="9.42578125" style="5"/>
    <col min="9985" max="9985" width="30.7109375" style="5" customWidth="1"/>
    <col min="9986" max="9986" width="28.7109375" style="5" customWidth="1"/>
    <col min="9987" max="9987" width="31.28515625" style="5" customWidth="1"/>
    <col min="9988" max="9988" width="10.140625" style="5" customWidth="1"/>
    <col min="9989" max="9989" width="34" style="5" customWidth="1"/>
    <col min="9990" max="9990" width="11.28515625" style="5" customWidth="1"/>
    <col min="9991" max="9991" width="3.140625" style="5" customWidth="1"/>
    <col min="9992" max="9992" width="15.28515625" style="5" customWidth="1"/>
    <col min="9993" max="9993" width="13.7109375" style="5" customWidth="1"/>
    <col min="9994" max="9994" width="24.42578125" style="5" customWidth="1"/>
    <col min="9995" max="10030" width="9.42578125" style="5"/>
    <col min="10031" max="10031" width="7" style="5" customWidth="1"/>
    <col min="10032" max="10032" width="23.5703125" style="5" customWidth="1"/>
    <col min="10033" max="10033" width="15" style="5" customWidth="1"/>
    <col min="10034" max="10034" width="29.42578125" style="5" customWidth="1"/>
    <col min="10035" max="10052" width="9.42578125" style="5"/>
    <col min="10053" max="10053" width="12.5703125" style="5" customWidth="1"/>
    <col min="10054" max="10054" width="12.7109375" style="5" customWidth="1"/>
    <col min="10055" max="10055" width="15.5703125" style="5" customWidth="1"/>
    <col min="10056" max="10056" width="11.85546875" style="5" customWidth="1"/>
    <col min="10057" max="10057" width="12.42578125" style="5" customWidth="1"/>
    <col min="10058" max="10058" width="12" style="5" customWidth="1"/>
    <col min="10059" max="10240" width="9.42578125" style="5"/>
    <col min="10241" max="10241" width="30.7109375" style="5" customWidth="1"/>
    <col min="10242" max="10242" width="28.7109375" style="5" customWidth="1"/>
    <col min="10243" max="10243" width="31.28515625" style="5" customWidth="1"/>
    <col min="10244" max="10244" width="10.140625" style="5" customWidth="1"/>
    <col min="10245" max="10245" width="34" style="5" customWidth="1"/>
    <col min="10246" max="10246" width="11.28515625" style="5" customWidth="1"/>
    <col min="10247" max="10247" width="3.140625" style="5" customWidth="1"/>
    <col min="10248" max="10248" width="15.28515625" style="5" customWidth="1"/>
    <col min="10249" max="10249" width="13.7109375" style="5" customWidth="1"/>
    <col min="10250" max="10250" width="24.42578125" style="5" customWidth="1"/>
    <col min="10251" max="10286" width="9.42578125" style="5"/>
    <col min="10287" max="10287" width="7" style="5" customWidth="1"/>
    <col min="10288" max="10288" width="23.5703125" style="5" customWidth="1"/>
    <col min="10289" max="10289" width="15" style="5" customWidth="1"/>
    <col min="10290" max="10290" width="29.42578125" style="5" customWidth="1"/>
    <col min="10291" max="10308" width="9.42578125" style="5"/>
    <col min="10309" max="10309" width="12.5703125" style="5" customWidth="1"/>
    <col min="10310" max="10310" width="12.7109375" style="5" customWidth="1"/>
    <col min="10311" max="10311" width="15.5703125" style="5" customWidth="1"/>
    <col min="10312" max="10312" width="11.85546875" style="5" customWidth="1"/>
    <col min="10313" max="10313" width="12.42578125" style="5" customWidth="1"/>
    <col min="10314" max="10314" width="12" style="5" customWidth="1"/>
    <col min="10315" max="10496" width="9.42578125" style="5"/>
    <col min="10497" max="10497" width="30.7109375" style="5" customWidth="1"/>
    <col min="10498" max="10498" width="28.7109375" style="5" customWidth="1"/>
    <col min="10499" max="10499" width="31.28515625" style="5" customWidth="1"/>
    <col min="10500" max="10500" width="10.140625" style="5" customWidth="1"/>
    <col min="10501" max="10501" width="34" style="5" customWidth="1"/>
    <col min="10502" max="10502" width="11.28515625" style="5" customWidth="1"/>
    <col min="10503" max="10503" width="3.140625" style="5" customWidth="1"/>
    <col min="10504" max="10504" width="15.28515625" style="5" customWidth="1"/>
    <col min="10505" max="10505" width="13.7109375" style="5" customWidth="1"/>
    <col min="10506" max="10506" width="24.42578125" style="5" customWidth="1"/>
    <col min="10507" max="10542" width="9.42578125" style="5"/>
    <col min="10543" max="10543" width="7" style="5" customWidth="1"/>
    <col min="10544" max="10544" width="23.5703125" style="5" customWidth="1"/>
    <col min="10545" max="10545" width="15" style="5" customWidth="1"/>
    <col min="10546" max="10546" width="29.42578125" style="5" customWidth="1"/>
    <col min="10547" max="10564" width="9.42578125" style="5"/>
    <col min="10565" max="10565" width="12.5703125" style="5" customWidth="1"/>
    <col min="10566" max="10566" width="12.7109375" style="5" customWidth="1"/>
    <col min="10567" max="10567" width="15.5703125" style="5" customWidth="1"/>
    <col min="10568" max="10568" width="11.85546875" style="5" customWidth="1"/>
    <col min="10569" max="10569" width="12.42578125" style="5" customWidth="1"/>
    <col min="10570" max="10570" width="12" style="5" customWidth="1"/>
    <col min="10571" max="10752" width="9.42578125" style="5"/>
    <col min="10753" max="10753" width="30.7109375" style="5" customWidth="1"/>
    <col min="10754" max="10754" width="28.7109375" style="5" customWidth="1"/>
    <col min="10755" max="10755" width="31.28515625" style="5" customWidth="1"/>
    <col min="10756" max="10756" width="10.140625" style="5" customWidth="1"/>
    <col min="10757" max="10757" width="34" style="5" customWidth="1"/>
    <col min="10758" max="10758" width="11.28515625" style="5" customWidth="1"/>
    <col min="10759" max="10759" width="3.140625" style="5" customWidth="1"/>
    <col min="10760" max="10760" width="15.28515625" style="5" customWidth="1"/>
    <col min="10761" max="10761" width="13.7109375" style="5" customWidth="1"/>
    <col min="10762" max="10762" width="24.42578125" style="5" customWidth="1"/>
    <col min="10763" max="10798" width="9.42578125" style="5"/>
    <col min="10799" max="10799" width="7" style="5" customWidth="1"/>
    <col min="10800" max="10800" width="23.5703125" style="5" customWidth="1"/>
    <col min="10801" max="10801" width="15" style="5" customWidth="1"/>
    <col min="10802" max="10802" width="29.42578125" style="5" customWidth="1"/>
    <col min="10803" max="10820" width="9.42578125" style="5"/>
    <col min="10821" max="10821" width="12.5703125" style="5" customWidth="1"/>
    <col min="10822" max="10822" width="12.7109375" style="5" customWidth="1"/>
    <col min="10823" max="10823" width="15.5703125" style="5" customWidth="1"/>
    <col min="10824" max="10824" width="11.85546875" style="5" customWidth="1"/>
    <col min="10825" max="10825" width="12.42578125" style="5" customWidth="1"/>
    <col min="10826" max="10826" width="12" style="5" customWidth="1"/>
    <col min="10827" max="11008" width="9.42578125" style="5"/>
    <col min="11009" max="11009" width="30.7109375" style="5" customWidth="1"/>
    <col min="11010" max="11010" width="28.7109375" style="5" customWidth="1"/>
    <col min="11011" max="11011" width="31.28515625" style="5" customWidth="1"/>
    <col min="11012" max="11012" width="10.140625" style="5" customWidth="1"/>
    <col min="11013" max="11013" width="34" style="5" customWidth="1"/>
    <col min="11014" max="11014" width="11.28515625" style="5" customWidth="1"/>
    <col min="11015" max="11015" width="3.140625" style="5" customWidth="1"/>
    <col min="11016" max="11016" width="15.28515625" style="5" customWidth="1"/>
    <col min="11017" max="11017" width="13.7109375" style="5" customWidth="1"/>
    <col min="11018" max="11018" width="24.42578125" style="5" customWidth="1"/>
    <col min="11019" max="11054" width="9.42578125" style="5"/>
    <col min="11055" max="11055" width="7" style="5" customWidth="1"/>
    <col min="11056" max="11056" width="23.5703125" style="5" customWidth="1"/>
    <col min="11057" max="11057" width="15" style="5" customWidth="1"/>
    <col min="11058" max="11058" width="29.42578125" style="5" customWidth="1"/>
    <col min="11059" max="11076" width="9.42578125" style="5"/>
    <col min="11077" max="11077" width="12.5703125" style="5" customWidth="1"/>
    <col min="11078" max="11078" width="12.7109375" style="5" customWidth="1"/>
    <col min="11079" max="11079" width="15.5703125" style="5" customWidth="1"/>
    <col min="11080" max="11080" width="11.85546875" style="5" customWidth="1"/>
    <col min="11081" max="11081" width="12.42578125" style="5" customWidth="1"/>
    <col min="11082" max="11082" width="12" style="5" customWidth="1"/>
    <col min="11083" max="11264" width="9.42578125" style="5"/>
    <col min="11265" max="11265" width="30.7109375" style="5" customWidth="1"/>
    <col min="11266" max="11266" width="28.7109375" style="5" customWidth="1"/>
    <col min="11267" max="11267" width="31.28515625" style="5" customWidth="1"/>
    <col min="11268" max="11268" width="10.140625" style="5" customWidth="1"/>
    <col min="11269" max="11269" width="34" style="5" customWidth="1"/>
    <col min="11270" max="11270" width="11.28515625" style="5" customWidth="1"/>
    <col min="11271" max="11271" width="3.140625" style="5" customWidth="1"/>
    <col min="11272" max="11272" width="15.28515625" style="5" customWidth="1"/>
    <col min="11273" max="11273" width="13.7109375" style="5" customWidth="1"/>
    <col min="11274" max="11274" width="24.42578125" style="5" customWidth="1"/>
    <col min="11275" max="11310" width="9.42578125" style="5"/>
    <col min="11311" max="11311" width="7" style="5" customWidth="1"/>
    <col min="11312" max="11312" width="23.5703125" style="5" customWidth="1"/>
    <col min="11313" max="11313" width="15" style="5" customWidth="1"/>
    <col min="11314" max="11314" width="29.42578125" style="5" customWidth="1"/>
    <col min="11315" max="11332" width="9.42578125" style="5"/>
    <col min="11333" max="11333" width="12.5703125" style="5" customWidth="1"/>
    <col min="11334" max="11334" width="12.7109375" style="5" customWidth="1"/>
    <col min="11335" max="11335" width="15.5703125" style="5" customWidth="1"/>
    <col min="11336" max="11336" width="11.85546875" style="5" customWidth="1"/>
    <col min="11337" max="11337" width="12.42578125" style="5" customWidth="1"/>
    <col min="11338" max="11338" width="12" style="5" customWidth="1"/>
    <col min="11339" max="11520" width="9.42578125" style="5"/>
    <col min="11521" max="11521" width="30.7109375" style="5" customWidth="1"/>
    <col min="11522" max="11522" width="28.7109375" style="5" customWidth="1"/>
    <col min="11523" max="11523" width="31.28515625" style="5" customWidth="1"/>
    <col min="11524" max="11524" width="10.140625" style="5" customWidth="1"/>
    <col min="11525" max="11525" width="34" style="5" customWidth="1"/>
    <col min="11526" max="11526" width="11.28515625" style="5" customWidth="1"/>
    <col min="11527" max="11527" width="3.140625" style="5" customWidth="1"/>
    <col min="11528" max="11528" width="15.28515625" style="5" customWidth="1"/>
    <col min="11529" max="11529" width="13.7109375" style="5" customWidth="1"/>
    <col min="11530" max="11530" width="24.42578125" style="5" customWidth="1"/>
    <col min="11531" max="11566" width="9.42578125" style="5"/>
    <col min="11567" max="11567" width="7" style="5" customWidth="1"/>
    <col min="11568" max="11568" width="23.5703125" style="5" customWidth="1"/>
    <col min="11569" max="11569" width="15" style="5" customWidth="1"/>
    <col min="11570" max="11570" width="29.42578125" style="5" customWidth="1"/>
    <col min="11571" max="11588" width="9.42578125" style="5"/>
    <col min="11589" max="11589" width="12.5703125" style="5" customWidth="1"/>
    <col min="11590" max="11590" width="12.7109375" style="5" customWidth="1"/>
    <col min="11591" max="11591" width="15.5703125" style="5" customWidth="1"/>
    <col min="11592" max="11592" width="11.85546875" style="5" customWidth="1"/>
    <col min="11593" max="11593" width="12.42578125" style="5" customWidth="1"/>
    <col min="11594" max="11594" width="12" style="5" customWidth="1"/>
    <col min="11595" max="11776" width="9.42578125" style="5"/>
    <col min="11777" max="11777" width="30.7109375" style="5" customWidth="1"/>
    <col min="11778" max="11778" width="28.7109375" style="5" customWidth="1"/>
    <col min="11779" max="11779" width="31.28515625" style="5" customWidth="1"/>
    <col min="11780" max="11780" width="10.140625" style="5" customWidth="1"/>
    <col min="11781" max="11781" width="34" style="5" customWidth="1"/>
    <col min="11782" max="11782" width="11.28515625" style="5" customWidth="1"/>
    <col min="11783" max="11783" width="3.140625" style="5" customWidth="1"/>
    <col min="11784" max="11784" width="15.28515625" style="5" customWidth="1"/>
    <col min="11785" max="11785" width="13.7109375" style="5" customWidth="1"/>
    <col min="11786" max="11786" width="24.42578125" style="5" customWidth="1"/>
    <col min="11787" max="11822" width="9.42578125" style="5"/>
    <col min="11823" max="11823" width="7" style="5" customWidth="1"/>
    <col min="11824" max="11824" width="23.5703125" style="5" customWidth="1"/>
    <col min="11825" max="11825" width="15" style="5" customWidth="1"/>
    <col min="11826" max="11826" width="29.42578125" style="5" customWidth="1"/>
    <col min="11827" max="11844" width="9.42578125" style="5"/>
    <col min="11845" max="11845" width="12.5703125" style="5" customWidth="1"/>
    <col min="11846" max="11846" width="12.7109375" style="5" customWidth="1"/>
    <col min="11847" max="11847" width="15.5703125" style="5" customWidth="1"/>
    <col min="11848" max="11848" width="11.85546875" style="5" customWidth="1"/>
    <col min="11849" max="11849" width="12.42578125" style="5" customWidth="1"/>
    <col min="11850" max="11850" width="12" style="5" customWidth="1"/>
    <col min="11851" max="12032" width="9.42578125" style="5"/>
    <col min="12033" max="12033" width="30.7109375" style="5" customWidth="1"/>
    <col min="12034" max="12034" width="28.7109375" style="5" customWidth="1"/>
    <col min="12035" max="12035" width="31.28515625" style="5" customWidth="1"/>
    <col min="12036" max="12036" width="10.140625" style="5" customWidth="1"/>
    <col min="12037" max="12037" width="34" style="5" customWidth="1"/>
    <col min="12038" max="12038" width="11.28515625" style="5" customWidth="1"/>
    <col min="12039" max="12039" width="3.140625" style="5" customWidth="1"/>
    <col min="12040" max="12040" width="15.28515625" style="5" customWidth="1"/>
    <col min="12041" max="12041" width="13.7109375" style="5" customWidth="1"/>
    <col min="12042" max="12042" width="24.42578125" style="5" customWidth="1"/>
    <col min="12043" max="12078" width="9.42578125" style="5"/>
    <col min="12079" max="12079" width="7" style="5" customWidth="1"/>
    <col min="12080" max="12080" width="23.5703125" style="5" customWidth="1"/>
    <col min="12081" max="12081" width="15" style="5" customWidth="1"/>
    <col min="12082" max="12082" width="29.42578125" style="5" customWidth="1"/>
    <col min="12083" max="12100" width="9.42578125" style="5"/>
    <col min="12101" max="12101" width="12.5703125" style="5" customWidth="1"/>
    <col min="12102" max="12102" width="12.7109375" style="5" customWidth="1"/>
    <col min="12103" max="12103" width="15.5703125" style="5" customWidth="1"/>
    <col min="12104" max="12104" width="11.85546875" style="5" customWidth="1"/>
    <col min="12105" max="12105" width="12.42578125" style="5" customWidth="1"/>
    <col min="12106" max="12106" width="12" style="5" customWidth="1"/>
    <col min="12107" max="12288" width="9.42578125" style="5"/>
    <col min="12289" max="12289" width="30.7109375" style="5" customWidth="1"/>
    <col min="12290" max="12290" width="28.7109375" style="5" customWidth="1"/>
    <col min="12291" max="12291" width="31.28515625" style="5" customWidth="1"/>
    <col min="12292" max="12292" width="10.140625" style="5" customWidth="1"/>
    <col min="12293" max="12293" width="34" style="5" customWidth="1"/>
    <col min="12294" max="12294" width="11.28515625" style="5" customWidth="1"/>
    <col min="12295" max="12295" width="3.140625" style="5" customWidth="1"/>
    <col min="12296" max="12296" width="15.28515625" style="5" customWidth="1"/>
    <col min="12297" max="12297" width="13.7109375" style="5" customWidth="1"/>
    <col min="12298" max="12298" width="24.42578125" style="5" customWidth="1"/>
    <col min="12299" max="12334" width="9.42578125" style="5"/>
    <col min="12335" max="12335" width="7" style="5" customWidth="1"/>
    <col min="12336" max="12336" width="23.5703125" style="5" customWidth="1"/>
    <col min="12337" max="12337" width="15" style="5" customWidth="1"/>
    <col min="12338" max="12338" width="29.42578125" style="5" customWidth="1"/>
    <col min="12339" max="12356" width="9.42578125" style="5"/>
    <col min="12357" max="12357" width="12.5703125" style="5" customWidth="1"/>
    <col min="12358" max="12358" width="12.7109375" style="5" customWidth="1"/>
    <col min="12359" max="12359" width="15.5703125" style="5" customWidth="1"/>
    <col min="12360" max="12360" width="11.85546875" style="5" customWidth="1"/>
    <col min="12361" max="12361" width="12.42578125" style="5" customWidth="1"/>
    <col min="12362" max="12362" width="12" style="5" customWidth="1"/>
    <col min="12363" max="12544" width="9.42578125" style="5"/>
    <col min="12545" max="12545" width="30.7109375" style="5" customWidth="1"/>
    <col min="12546" max="12546" width="28.7109375" style="5" customWidth="1"/>
    <col min="12547" max="12547" width="31.28515625" style="5" customWidth="1"/>
    <col min="12548" max="12548" width="10.140625" style="5" customWidth="1"/>
    <col min="12549" max="12549" width="34" style="5" customWidth="1"/>
    <col min="12550" max="12550" width="11.28515625" style="5" customWidth="1"/>
    <col min="12551" max="12551" width="3.140625" style="5" customWidth="1"/>
    <col min="12552" max="12552" width="15.28515625" style="5" customWidth="1"/>
    <col min="12553" max="12553" width="13.7109375" style="5" customWidth="1"/>
    <col min="12554" max="12554" width="24.42578125" style="5" customWidth="1"/>
    <col min="12555" max="12590" width="9.42578125" style="5"/>
    <col min="12591" max="12591" width="7" style="5" customWidth="1"/>
    <col min="12592" max="12592" width="23.5703125" style="5" customWidth="1"/>
    <col min="12593" max="12593" width="15" style="5" customWidth="1"/>
    <col min="12594" max="12594" width="29.42578125" style="5" customWidth="1"/>
    <col min="12595" max="12612" width="9.42578125" style="5"/>
    <col min="12613" max="12613" width="12.5703125" style="5" customWidth="1"/>
    <col min="12614" max="12614" width="12.7109375" style="5" customWidth="1"/>
    <col min="12615" max="12615" width="15.5703125" style="5" customWidth="1"/>
    <col min="12616" max="12616" width="11.85546875" style="5" customWidth="1"/>
    <col min="12617" max="12617" width="12.42578125" style="5" customWidth="1"/>
    <col min="12618" max="12618" width="12" style="5" customWidth="1"/>
    <col min="12619" max="12800" width="9.42578125" style="5"/>
    <col min="12801" max="12801" width="30.7109375" style="5" customWidth="1"/>
    <col min="12802" max="12802" width="28.7109375" style="5" customWidth="1"/>
    <col min="12803" max="12803" width="31.28515625" style="5" customWidth="1"/>
    <col min="12804" max="12804" width="10.140625" style="5" customWidth="1"/>
    <col min="12805" max="12805" width="34" style="5" customWidth="1"/>
    <col min="12806" max="12806" width="11.28515625" style="5" customWidth="1"/>
    <col min="12807" max="12807" width="3.140625" style="5" customWidth="1"/>
    <col min="12808" max="12808" width="15.28515625" style="5" customWidth="1"/>
    <col min="12809" max="12809" width="13.7109375" style="5" customWidth="1"/>
    <col min="12810" max="12810" width="24.42578125" style="5" customWidth="1"/>
    <col min="12811" max="12846" width="9.42578125" style="5"/>
    <col min="12847" max="12847" width="7" style="5" customWidth="1"/>
    <col min="12848" max="12848" width="23.5703125" style="5" customWidth="1"/>
    <col min="12849" max="12849" width="15" style="5" customWidth="1"/>
    <col min="12850" max="12850" width="29.42578125" style="5" customWidth="1"/>
    <col min="12851" max="12868" width="9.42578125" style="5"/>
    <col min="12869" max="12869" width="12.5703125" style="5" customWidth="1"/>
    <col min="12870" max="12870" width="12.7109375" style="5" customWidth="1"/>
    <col min="12871" max="12871" width="15.5703125" style="5" customWidth="1"/>
    <col min="12872" max="12872" width="11.85546875" style="5" customWidth="1"/>
    <col min="12873" max="12873" width="12.42578125" style="5" customWidth="1"/>
    <col min="12874" max="12874" width="12" style="5" customWidth="1"/>
    <col min="12875" max="13056" width="9.42578125" style="5"/>
    <col min="13057" max="13057" width="30.7109375" style="5" customWidth="1"/>
    <col min="13058" max="13058" width="28.7109375" style="5" customWidth="1"/>
    <col min="13059" max="13059" width="31.28515625" style="5" customWidth="1"/>
    <col min="13060" max="13060" width="10.140625" style="5" customWidth="1"/>
    <col min="13061" max="13061" width="34" style="5" customWidth="1"/>
    <col min="13062" max="13062" width="11.28515625" style="5" customWidth="1"/>
    <col min="13063" max="13063" width="3.140625" style="5" customWidth="1"/>
    <col min="13064" max="13064" width="15.28515625" style="5" customWidth="1"/>
    <col min="13065" max="13065" width="13.7109375" style="5" customWidth="1"/>
    <col min="13066" max="13066" width="24.42578125" style="5" customWidth="1"/>
    <col min="13067" max="13102" width="9.42578125" style="5"/>
    <col min="13103" max="13103" width="7" style="5" customWidth="1"/>
    <col min="13104" max="13104" width="23.5703125" style="5" customWidth="1"/>
    <col min="13105" max="13105" width="15" style="5" customWidth="1"/>
    <col min="13106" max="13106" width="29.42578125" style="5" customWidth="1"/>
    <col min="13107" max="13124" width="9.42578125" style="5"/>
    <col min="13125" max="13125" width="12.5703125" style="5" customWidth="1"/>
    <col min="13126" max="13126" width="12.7109375" style="5" customWidth="1"/>
    <col min="13127" max="13127" width="15.5703125" style="5" customWidth="1"/>
    <col min="13128" max="13128" width="11.85546875" style="5" customWidth="1"/>
    <col min="13129" max="13129" width="12.42578125" style="5" customWidth="1"/>
    <col min="13130" max="13130" width="12" style="5" customWidth="1"/>
    <col min="13131" max="13312" width="9.42578125" style="5"/>
    <col min="13313" max="13313" width="30.7109375" style="5" customWidth="1"/>
    <col min="13314" max="13314" width="28.7109375" style="5" customWidth="1"/>
    <col min="13315" max="13315" width="31.28515625" style="5" customWidth="1"/>
    <col min="13316" max="13316" width="10.140625" style="5" customWidth="1"/>
    <col min="13317" max="13317" width="34" style="5" customWidth="1"/>
    <col min="13318" max="13318" width="11.28515625" style="5" customWidth="1"/>
    <col min="13319" max="13319" width="3.140625" style="5" customWidth="1"/>
    <col min="13320" max="13320" width="15.28515625" style="5" customWidth="1"/>
    <col min="13321" max="13321" width="13.7109375" style="5" customWidth="1"/>
    <col min="13322" max="13322" width="24.42578125" style="5" customWidth="1"/>
    <col min="13323" max="13358" width="9.42578125" style="5"/>
    <col min="13359" max="13359" width="7" style="5" customWidth="1"/>
    <col min="13360" max="13360" width="23.5703125" style="5" customWidth="1"/>
    <col min="13361" max="13361" width="15" style="5" customWidth="1"/>
    <col min="13362" max="13362" width="29.42578125" style="5" customWidth="1"/>
    <col min="13363" max="13380" width="9.42578125" style="5"/>
    <col min="13381" max="13381" width="12.5703125" style="5" customWidth="1"/>
    <col min="13382" max="13382" width="12.7109375" style="5" customWidth="1"/>
    <col min="13383" max="13383" width="15.5703125" style="5" customWidth="1"/>
    <col min="13384" max="13384" width="11.85546875" style="5" customWidth="1"/>
    <col min="13385" max="13385" width="12.42578125" style="5" customWidth="1"/>
    <col min="13386" max="13386" width="12" style="5" customWidth="1"/>
    <col min="13387" max="13568" width="9.42578125" style="5"/>
    <col min="13569" max="13569" width="30.7109375" style="5" customWidth="1"/>
    <col min="13570" max="13570" width="28.7109375" style="5" customWidth="1"/>
    <col min="13571" max="13571" width="31.28515625" style="5" customWidth="1"/>
    <col min="13572" max="13572" width="10.140625" style="5" customWidth="1"/>
    <col min="13573" max="13573" width="34" style="5" customWidth="1"/>
    <col min="13574" max="13574" width="11.28515625" style="5" customWidth="1"/>
    <col min="13575" max="13575" width="3.140625" style="5" customWidth="1"/>
    <col min="13576" max="13576" width="15.28515625" style="5" customWidth="1"/>
    <col min="13577" max="13577" width="13.7109375" style="5" customWidth="1"/>
    <col min="13578" max="13578" width="24.42578125" style="5" customWidth="1"/>
    <col min="13579" max="13614" width="9.42578125" style="5"/>
    <col min="13615" max="13615" width="7" style="5" customWidth="1"/>
    <col min="13616" max="13616" width="23.5703125" style="5" customWidth="1"/>
    <col min="13617" max="13617" width="15" style="5" customWidth="1"/>
    <col min="13618" max="13618" width="29.42578125" style="5" customWidth="1"/>
    <col min="13619" max="13636" width="9.42578125" style="5"/>
    <col min="13637" max="13637" width="12.5703125" style="5" customWidth="1"/>
    <col min="13638" max="13638" width="12.7109375" style="5" customWidth="1"/>
    <col min="13639" max="13639" width="15.5703125" style="5" customWidth="1"/>
    <col min="13640" max="13640" width="11.85546875" style="5" customWidth="1"/>
    <col min="13641" max="13641" width="12.42578125" style="5" customWidth="1"/>
    <col min="13642" max="13642" width="12" style="5" customWidth="1"/>
    <col min="13643" max="13824" width="9.42578125" style="5"/>
    <col min="13825" max="13825" width="30.7109375" style="5" customWidth="1"/>
    <col min="13826" max="13826" width="28.7109375" style="5" customWidth="1"/>
    <col min="13827" max="13827" width="31.28515625" style="5" customWidth="1"/>
    <col min="13828" max="13828" width="10.140625" style="5" customWidth="1"/>
    <col min="13829" max="13829" width="34" style="5" customWidth="1"/>
    <col min="13830" max="13830" width="11.28515625" style="5" customWidth="1"/>
    <col min="13831" max="13831" width="3.140625" style="5" customWidth="1"/>
    <col min="13832" max="13832" width="15.28515625" style="5" customWidth="1"/>
    <col min="13833" max="13833" width="13.7109375" style="5" customWidth="1"/>
    <col min="13834" max="13834" width="24.42578125" style="5" customWidth="1"/>
    <col min="13835" max="13870" width="9.42578125" style="5"/>
    <col min="13871" max="13871" width="7" style="5" customWidth="1"/>
    <col min="13872" max="13872" width="23.5703125" style="5" customWidth="1"/>
    <col min="13873" max="13873" width="15" style="5" customWidth="1"/>
    <col min="13874" max="13874" width="29.42578125" style="5" customWidth="1"/>
    <col min="13875" max="13892" width="9.42578125" style="5"/>
    <col min="13893" max="13893" width="12.5703125" style="5" customWidth="1"/>
    <col min="13894" max="13894" width="12.7109375" style="5" customWidth="1"/>
    <col min="13895" max="13895" width="15.5703125" style="5" customWidth="1"/>
    <col min="13896" max="13896" width="11.85546875" style="5" customWidth="1"/>
    <col min="13897" max="13897" width="12.42578125" style="5" customWidth="1"/>
    <col min="13898" max="13898" width="12" style="5" customWidth="1"/>
    <col min="13899" max="14080" width="9.42578125" style="5"/>
    <col min="14081" max="14081" width="30.7109375" style="5" customWidth="1"/>
    <col min="14082" max="14082" width="28.7109375" style="5" customWidth="1"/>
    <col min="14083" max="14083" width="31.28515625" style="5" customWidth="1"/>
    <col min="14084" max="14084" width="10.140625" style="5" customWidth="1"/>
    <col min="14085" max="14085" width="34" style="5" customWidth="1"/>
    <col min="14086" max="14086" width="11.28515625" style="5" customWidth="1"/>
    <col min="14087" max="14087" width="3.140625" style="5" customWidth="1"/>
    <col min="14088" max="14088" width="15.28515625" style="5" customWidth="1"/>
    <col min="14089" max="14089" width="13.7109375" style="5" customWidth="1"/>
    <col min="14090" max="14090" width="24.42578125" style="5" customWidth="1"/>
    <col min="14091" max="14126" width="9.42578125" style="5"/>
    <col min="14127" max="14127" width="7" style="5" customWidth="1"/>
    <col min="14128" max="14128" width="23.5703125" style="5" customWidth="1"/>
    <col min="14129" max="14129" width="15" style="5" customWidth="1"/>
    <col min="14130" max="14130" width="29.42578125" style="5" customWidth="1"/>
    <col min="14131" max="14148" width="9.42578125" style="5"/>
    <col min="14149" max="14149" width="12.5703125" style="5" customWidth="1"/>
    <col min="14150" max="14150" width="12.7109375" style="5" customWidth="1"/>
    <col min="14151" max="14151" width="15.5703125" style="5" customWidth="1"/>
    <col min="14152" max="14152" width="11.85546875" style="5" customWidth="1"/>
    <col min="14153" max="14153" width="12.42578125" style="5" customWidth="1"/>
    <col min="14154" max="14154" width="12" style="5" customWidth="1"/>
    <col min="14155" max="14336" width="9.42578125" style="5"/>
    <col min="14337" max="14337" width="30.7109375" style="5" customWidth="1"/>
    <col min="14338" max="14338" width="28.7109375" style="5" customWidth="1"/>
    <col min="14339" max="14339" width="31.28515625" style="5" customWidth="1"/>
    <col min="14340" max="14340" width="10.140625" style="5" customWidth="1"/>
    <col min="14341" max="14341" width="34" style="5" customWidth="1"/>
    <col min="14342" max="14342" width="11.28515625" style="5" customWidth="1"/>
    <col min="14343" max="14343" width="3.140625" style="5" customWidth="1"/>
    <col min="14344" max="14344" width="15.28515625" style="5" customWidth="1"/>
    <col min="14345" max="14345" width="13.7109375" style="5" customWidth="1"/>
    <col min="14346" max="14346" width="24.42578125" style="5" customWidth="1"/>
    <col min="14347" max="14382" width="9.42578125" style="5"/>
    <col min="14383" max="14383" width="7" style="5" customWidth="1"/>
    <col min="14384" max="14384" width="23.5703125" style="5" customWidth="1"/>
    <col min="14385" max="14385" width="15" style="5" customWidth="1"/>
    <col min="14386" max="14386" width="29.42578125" style="5" customWidth="1"/>
    <col min="14387" max="14404" width="9.42578125" style="5"/>
    <col min="14405" max="14405" width="12.5703125" style="5" customWidth="1"/>
    <col min="14406" max="14406" width="12.7109375" style="5" customWidth="1"/>
    <col min="14407" max="14407" width="15.5703125" style="5" customWidth="1"/>
    <col min="14408" max="14408" width="11.85546875" style="5" customWidth="1"/>
    <col min="14409" max="14409" width="12.42578125" style="5" customWidth="1"/>
    <col min="14410" max="14410" width="12" style="5" customWidth="1"/>
    <col min="14411" max="14592" width="9.42578125" style="5"/>
    <col min="14593" max="14593" width="30.7109375" style="5" customWidth="1"/>
    <col min="14594" max="14594" width="28.7109375" style="5" customWidth="1"/>
    <col min="14595" max="14595" width="31.28515625" style="5" customWidth="1"/>
    <col min="14596" max="14596" width="10.140625" style="5" customWidth="1"/>
    <col min="14597" max="14597" width="34" style="5" customWidth="1"/>
    <col min="14598" max="14598" width="11.28515625" style="5" customWidth="1"/>
    <col min="14599" max="14599" width="3.140625" style="5" customWidth="1"/>
    <col min="14600" max="14600" width="15.28515625" style="5" customWidth="1"/>
    <col min="14601" max="14601" width="13.7109375" style="5" customWidth="1"/>
    <col min="14602" max="14602" width="24.42578125" style="5" customWidth="1"/>
    <col min="14603" max="14638" width="9.42578125" style="5"/>
    <col min="14639" max="14639" width="7" style="5" customWidth="1"/>
    <col min="14640" max="14640" width="23.5703125" style="5" customWidth="1"/>
    <col min="14641" max="14641" width="15" style="5" customWidth="1"/>
    <col min="14642" max="14642" width="29.42578125" style="5" customWidth="1"/>
    <col min="14643" max="14660" width="9.42578125" style="5"/>
    <col min="14661" max="14661" width="12.5703125" style="5" customWidth="1"/>
    <col min="14662" max="14662" width="12.7109375" style="5" customWidth="1"/>
    <col min="14663" max="14663" width="15.5703125" style="5" customWidth="1"/>
    <col min="14664" max="14664" width="11.85546875" style="5" customWidth="1"/>
    <col min="14665" max="14665" width="12.42578125" style="5" customWidth="1"/>
    <col min="14666" max="14666" width="12" style="5" customWidth="1"/>
    <col min="14667" max="14848" width="9.42578125" style="5"/>
    <col min="14849" max="14849" width="30.7109375" style="5" customWidth="1"/>
    <col min="14850" max="14850" width="28.7109375" style="5" customWidth="1"/>
    <col min="14851" max="14851" width="31.28515625" style="5" customWidth="1"/>
    <col min="14852" max="14852" width="10.140625" style="5" customWidth="1"/>
    <col min="14853" max="14853" width="34" style="5" customWidth="1"/>
    <col min="14854" max="14854" width="11.28515625" style="5" customWidth="1"/>
    <col min="14855" max="14855" width="3.140625" style="5" customWidth="1"/>
    <col min="14856" max="14856" width="15.28515625" style="5" customWidth="1"/>
    <col min="14857" max="14857" width="13.7109375" style="5" customWidth="1"/>
    <col min="14858" max="14858" width="24.42578125" style="5" customWidth="1"/>
    <col min="14859" max="14894" width="9.42578125" style="5"/>
    <col min="14895" max="14895" width="7" style="5" customWidth="1"/>
    <col min="14896" max="14896" width="23.5703125" style="5" customWidth="1"/>
    <col min="14897" max="14897" width="15" style="5" customWidth="1"/>
    <col min="14898" max="14898" width="29.42578125" style="5" customWidth="1"/>
    <col min="14899" max="14916" width="9.42578125" style="5"/>
    <col min="14917" max="14917" width="12.5703125" style="5" customWidth="1"/>
    <col min="14918" max="14918" width="12.7109375" style="5" customWidth="1"/>
    <col min="14919" max="14919" width="15.5703125" style="5" customWidth="1"/>
    <col min="14920" max="14920" width="11.85546875" style="5" customWidth="1"/>
    <col min="14921" max="14921" width="12.42578125" style="5" customWidth="1"/>
    <col min="14922" max="14922" width="12" style="5" customWidth="1"/>
    <col min="14923" max="15104" width="9.42578125" style="5"/>
    <col min="15105" max="15105" width="30.7109375" style="5" customWidth="1"/>
    <col min="15106" max="15106" width="28.7109375" style="5" customWidth="1"/>
    <col min="15107" max="15107" width="31.28515625" style="5" customWidth="1"/>
    <col min="15108" max="15108" width="10.140625" style="5" customWidth="1"/>
    <col min="15109" max="15109" width="34" style="5" customWidth="1"/>
    <col min="15110" max="15110" width="11.28515625" style="5" customWidth="1"/>
    <col min="15111" max="15111" width="3.140625" style="5" customWidth="1"/>
    <col min="15112" max="15112" width="15.28515625" style="5" customWidth="1"/>
    <col min="15113" max="15113" width="13.7109375" style="5" customWidth="1"/>
    <col min="15114" max="15114" width="24.42578125" style="5" customWidth="1"/>
    <col min="15115" max="15150" width="9.42578125" style="5"/>
    <col min="15151" max="15151" width="7" style="5" customWidth="1"/>
    <col min="15152" max="15152" width="23.5703125" style="5" customWidth="1"/>
    <col min="15153" max="15153" width="15" style="5" customWidth="1"/>
    <col min="15154" max="15154" width="29.42578125" style="5" customWidth="1"/>
    <col min="15155" max="15172" width="9.42578125" style="5"/>
    <col min="15173" max="15173" width="12.5703125" style="5" customWidth="1"/>
    <col min="15174" max="15174" width="12.7109375" style="5" customWidth="1"/>
    <col min="15175" max="15175" width="15.5703125" style="5" customWidth="1"/>
    <col min="15176" max="15176" width="11.85546875" style="5" customWidth="1"/>
    <col min="15177" max="15177" width="12.42578125" style="5" customWidth="1"/>
    <col min="15178" max="15178" width="12" style="5" customWidth="1"/>
    <col min="15179" max="15360" width="9.42578125" style="5"/>
    <col min="15361" max="15361" width="30.7109375" style="5" customWidth="1"/>
    <col min="15362" max="15362" width="28.7109375" style="5" customWidth="1"/>
    <col min="15363" max="15363" width="31.28515625" style="5" customWidth="1"/>
    <col min="15364" max="15364" width="10.140625" style="5" customWidth="1"/>
    <col min="15365" max="15365" width="34" style="5" customWidth="1"/>
    <col min="15366" max="15366" width="11.28515625" style="5" customWidth="1"/>
    <col min="15367" max="15367" width="3.140625" style="5" customWidth="1"/>
    <col min="15368" max="15368" width="15.28515625" style="5" customWidth="1"/>
    <col min="15369" max="15369" width="13.7109375" style="5" customWidth="1"/>
    <col min="15370" max="15370" width="24.42578125" style="5" customWidth="1"/>
    <col min="15371" max="15406" width="9.42578125" style="5"/>
    <col min="15407" max="15407" width="7" style="5" customWidth="1"/>
    <col min="15408" max="15408" width="23.5703125" style="5" customWidth="1"/>
    <col min="15409" max="15409" width="15" style="5" customWidth="1"/>
    <col min="15410" max="15410" width="29.42578125" style="5" customWidth="1"/>
    <col min="15411" max="15428" width="9.42578125" style="5"/>
    <col min="15429" max="15429" width="12.5703125" style="5" customWidth="1"/>
    <col min="15430" max="15430" width="12.7109375" style="5" customWidth="1"/>
    <col min="15431" max="15431" width="15.5703125" style="5" customWidth="1"/>
    <col min="15432" max="15432" width="11.85546875" style="5" customWidth="1"/>
    <col min="15433" max="15433" width="12.42578125" style="5" customWidth="1"/>
    <col min="15434" max="15434" width="12" style="5" customWidth="1"/>
    <col min="15435" max="15616" width="9.42578125" style="5"/>
    <col min="15617" max="15617" width="30.7109375" style="5" customWidth="1"/>
    <col min="15618" max="15618" width="28.7109375" style="5" customWidth="1"/>
    <col min="15619" max="15619" width="31.28515625" style="5" customWidth="1"/>
    <col min="15620" max="15620" width="10.140625" style="5" customWidth="1"/>
    <col min="15621" max="15621" width="34" style="5" customWidth="1"/>
    <col min="15622" max="15622" width="11.28515625" style="5" customWidth="1"/>
    <col min="15623" max="15623" width="3.140625" style="5" customWidth="1"/>
    <col min="15624" max="15624" width="15.28515625" style="5" customWidth="1"/>
    <col min="15625" max="15625" width="13.7109375" style="5" customWidth="1"/>
    <col min="15626" max="15626" width="24.42578125" style="5" customWidth="1"/>
    <col min="15627" max="15662" width="9.42578125" style="5"/>
    <col min="15663" max="15663" width="7" style="5" customWidth="1"/>
    <col min="15664" max="15664" width="23.5703125" style="5" customWidth="1"/>
    <col min="15665" max="15665" width="15" style="5" customWidth="1"/>
    <col min="15666" max="15666" width="29.42578125" style="5" customWidth="1"/>
    <col min="15667" max="15684" width="9.42578125" style="5"/>
    <col min="15685" max="15685" width="12.5703125" style="5" customWidth="1"/>
    <col min="15686" max="15686" width="12.7109375" style="5" customWidth="1"/>
    <col min="15687" max="15687" width="15.5703125" style="5" customWidth="1"/>
    <col min="15688" max="15688" width="11.85546875" style="5" customWidth="1"/>
    <col min="15689" max="15689" width="12.42578125" style="5" customWidth="1"/>
    <col min="15690" max="15690" width="12" style="5" customWidth="1"/>
    <col min="15691" max="15872" width="9.42578125" style="5"/>
    <col min="15873" max="15873" width="30.7109375" style="5" customWidth="1"/>
    <col min="15874" max="15874" width="28.7109375" style="5" customWidth="1"/>
    <col min="15875" max="15875" width="31.28515625" style="5" customWidth="1"/>
    <col min="15876" max="15876" width="10.140625" style="5" customWidth="1"/>
    <col min="15877" max="15877" width="34" style="5" customWidth="1"/>
    <col min="15878" max="15878" width="11.28515625" style="5" customWidth="1"/>
    <col min="15879" max="15879" width="3.140625" style="5" customWidth="1"/>
    <col min="15880" max="15880" width="15.28515625" style="5" customWidth="1"/>
    <col min="15881" max="15881" width="13.7109375" style="5" customWidth="1"/>
    <col min="15882" max="15882" width="24.42578125" style="5" customWidth="1"/>
    <col min="15883" max="15918" width="9.42578125" style="5"/>
    <col min="15919" max="15919" width="7" style="5" customWidth="1"/>
    <col min="15920" max="15920" width="23.5703125" style="5" customWidth="1"/>
    <col min="15921" max="15921" width="15" style="5" customWidth="1"/>
    <col min="15922" max="15922" width="29.42578125" style="5" customWidth="1"/>
    <col min="15923" max="15940" width="9.42578125" style="5"/>
    <col min="15941" max="15941" width="12.5703125" style="5" customWidth="1"/>
    <col min="15942" max="15942" width="12.7109375" style="5" customWidth="1"/>
    <col min="15943" max="15943" width="15.5703125" style="5" customWidth="1"/>
    <col min="15944" max="15944" width="11.85546875" style="5" customWidth="1"/>
    <col min="15945" max="15945" width="12.42578125" style="5" customWidth="1"/>
    <col min="15946" max="15946" width="12" style="5" customWidth="1"/>
    <col min="15947" max="16128" width="9.42578125" style="5"/>
    <col min="16129" max="16129" width="30.7109375" style="5" customWidth="1"/>
    <col min="16130" max="16130" width="28.7109375" style="5" customWidth="1"/>
    <col min="16131" max="16131" width="31.28515625" style="5" customWidth="1"/>
    <col min="16132" max="16132" width="10.140625" style="5" customWidth="1"/>
    <col min="16133" max="16133" width="34" style="5" customWidth="1"/>
    <col min="16134" max="16134" width="11.28515625" style="5" customWidth="1"/>
    <col min="16135" max="16135" width="3.140625" style="5" customWidth="1"/>
    <col min="16136" max="16136" width="15.28515625" style="5" customWidth="1"/>
    <col min="16137" max="16137" width="13.7109375" style="5" customWidth="1"/>
    <col min="16138" max="16138" width="24.42578125" style="5" customWidth="1"/>
    <col min="16139" max="16174" width="9.42578125" style="5"/>
    <col min="16175" max="16175" width="7" style="5" customWidth="1"/>
    <col min="16176" max="16176" width="23.5703125" style="5" customWidth="1"/>
    <col min="16177" max="16177" width="15" style="5" customWidth="1"/>
    <col min="16178" max="16178" width="29.42578125" style="5" customWidth="1"/>
    <col min="16179" max="16196" width="9.42578125" style="5"/>
    <col min="16197" max="16197" width="12.5703125" style="5" customWidth="1"/>
    <col min="16198" max="16198" width="12.7109375" style="5" customWidth="1"/>
    <col min="16199" max="16199" width="15.5703125" style="5" customWidth="1"/>
    <col min="16200" max="16200" width="11.85546875" style="5" customWidth="1"/>
    <col min="16201" max="16201" width="12.42578125" style="5" customWidth="1"/>
    <col min="16202" max="16202" width="12" style="5" customWidth="1"/>
    <col min="16203" max="16384" width="9.42578125" style="5"/>
  </cols>
  <sheetData>
    <row r="1" spans="1:97" s="7" customFormat="1" ht="28.35" customHeight="1">
      <c r="A1" s="952" t="s">
        <v>4</v>
      </c>
      <c r="B1" s="952"/>
      <c r="C1" s="952"/>
      <c r="D1" s="952"/>
      <c r="E1" s="952"/>
      <c r="F1" s="952"/>
      <c r="G1" s="307"/>
      <c r="H1" s="953" t="s">
        <v>5</v>
      </c>
      <c r="I1" s="953"/>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c r="CR1" s="308"/>
      <c r="CS1" s="308"/>
    </row>
    <row r="2" spans="1:97" s="7" customFormat="1" ht="27.6" customHeight="1" thickBot="1">
      <c r="A2" s="684" t="s">
        <v>553</v>
      </c>
      <c r="B2" s="997" t="s">
        <v>560</v>
      </c>
      <c r="C2" s="997"/>
      <c r="D2" s="997"/>
      <c r="E2" s="997"/>
      <c r="F2" s="997"/>
      <c r="H2" s="8"/>
      <c r="I2" s="9"/>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row>
    <row r="3" spans="1:97" s="7" customFormat="1" ht="34.700000000000003" customHeight="1" thickBot="1">
      <c r="A3" s="699" t="s">
        <v>340</v>
      </c>
      <c r="B3" s="648">
        <v>130389</v>
      </c>
      <c r="C3" s="649" t="s">
        <v>7</v>
      </c>
      <c r="D3" s="650">
        <v>20</v>
      </c>
      <c r="E3" s="651" t="s">
        <v>8</v>
      </c>
      <c r="F3" s="652">
        <v>4800</v>
      </c>
      <c r="G3" s="309"/>
      <c r="H3" s="996" t="s">
        <v>9</v>
      </c>
      <c r="I3" s="996"/>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row>
    <row r="4" spans="1:97" s="7" customFormat="1" ht="29.45" customHeight="1" thickBot="1">
      <c r="A4" s="653" t="s">
        <v>10</v>
      </c>
      <c r="B4" s="700" t="s">
        <v>11</v>
      </c>
      <c r="C4" s="655" t="s">
        <v>341</v>
      </c>
      <c r="D4" s="701" t="str">
        <f ca="1">AW119</f>
        <v>&gt;1</v>
      </c>
      <c r="E4" s="657" t="s">
        <v>13</v>
      </c>
      <c r="F4" s="652" t="s">
        <v>14</v>
      </c>
      <c r="G4" s="310"/>
      <c r="H4" s="992" t="s">
        <v>15</v>
      </c>
      <c r="I4" s="992"/>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row>
    <row r="5" spans="1:97" s="7" customFormat="1" ht="32.1" customHeight="1" thickBot="1">
      <c r="A5" s="658" t="s">
        <v>406</v>
      </c>
      <c r="B5" s="702">
        <v>43273</v>
      </c>
      <c r="C5" s="655" t="s">
        <v>18</v>
      </c>
      <c r="D5" s="703" t="s">
        <v>45</v>
      </c>
      <c r="E5" s="661" t="s">
        <v>20</v>
      </c>
      <c r="F5" s="662">
        <v>1</v>
      </c>
      <c r="G5" s="310"/>
      <c r="H5" s="992" t="s">
        <v>632</v>
      </c>
      <c r="I5" s="992"/>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8"/>
      <c r="BS5" s="308"/>
      <c r="BT5" s="308"/>
      <c r="BU5" s="308"/>
      <c r="BV5" s="308"/>
      <c r="BW5" s="308"/>
      <c r="BX5" s="308"/>
      <c r="BY5" s="308"/>
      <c r="BZ5" s="308"/>
      <c r="CA5" s="308"/>
      <c r="CB5" s="308"/>
      <c r="CC5" s="308"/>
      <c r="CD5" s="308"/>
      <c r="CE5" s="308"/>
      <c r="CF5" s="308"/>
      <c r="CG5" s="308"/>
      <c r="CH5" s="308"/>
      <c r="CI5" s="308"/>
      <c r="CJ5" s="308"/>
      <c r="CK5" s="308"/>
      <c r="CL5" s="308"/>
      <c r="CM5" s="308"/>
      <c r="CN5" s="308"/>
      <c r="CO5" s="308"/>
      <c r="CP5" s="308"/>
      <c r="CQ5" s="308"/>
      <c r="CR5" s="308"/>
      <c r="CS5" s="308"/>
    </row>
    <row r="6" spans="1:97" s="7" customFormat="1" ht="27.6" customHeight="1" thickBot="1">
      <c r="A6" s="766" t="s">
        <v>512</v>
      </c>
      <c r="B6" s="817" t="s">
        <v>587</v>
      </c>
      <c r="C6" s="704"/>
      <c r="D6" s="704"/>
      <c r="E6" s="705"/>
      <c r="F6" s="706"/>
      <c r="G6" s="310"/>
      <c r="H6" s="992" t="s">
        <v>483</v>
      </c>
      <c r="I6" s="992"/>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8"/>
      <c r="CR6" s="308"/>
      <c r="CS6" s="308"/>
    </row>
    <row r="7" spans="1:97" ht="21" hidden="1" customHeight="1" thickBot="1">
      <c r="A7" s="993"/>
      <c r="B7" s="993"/>
      <c r="C7" s="305"/>
      <c r="D7" s="311"/>
      <c r="E7" s="305"/>
      <c r="F7" s="305"/>
      <c r="G7" s="312"/>
      <c r="H7" s="312"/>
      <c r="I7" s="313"/>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row>
    <row r="8" spans="1:97" ht="15.6" customHeight="1">
      <c r="A8" s="994" t="s">
        <v>21</v>
      </c>
      <c r="B8" s="994"/>
      <c r="C8" s="994"/>
      <c r="D8" s="994"/>
      <c r="E8" s="995" t="s">
        <v>22</v>
      </c>
      <c r="F8" s="995"/>
      <c r="G8" s="305"/>
      <c r="H8" s="305"/>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row>
    <row r="9" spans="1:97" ht="28.5" customHeight="1">
      <c r="A9" s="66" t="s">
        <v>342</v>
      </c>
      <c r="B9" s="67">
        <f ca="1">AW131</f>
        <v>1.8440000000000001</v>
      </c>
      <c r="C9" s="72" t="s">
        <v>27</v>
      </c>
      <c r="D9" s="73">
        <f>0.04*$F$3*(1-D3%)</f>
        <v>153.60000000000002</v>
      </c>
      <c r="E9" s="314" t="s">
        <v>24</v>
      </c>
      <c r="F9" s="315">
        <f>IF($D$5="&lt;75",482,IF($D$5="76-150",752,IF($D$5="151-350",1193,IF($D$5="&gt;350",2323,0))))</f>
        <v>2323</v>
      </c>
      <c r="G9" s="305"/>
      <c r="H9" s="305"/>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row>
    <row r="10" spans="1:97" ht="17.850000000000001" customHeight="1">
      <c r="A10" s="66" t="s">
        <v>343</v>
      </c>
      <c r="B10" s="67">
        <f ca="1">AW132</f>
        <v>1.8440000000000001</v>
      </c>
      <c r="C10" s="66" t="s">
        <v>409</v>
      </c>
      <c r="D10" s="77">
        <f ca="1">$D$3%*$B$17</f>
        <v>1291.1327740000002</v>
      </c>
      <c r="E10" s="314" t="str">
        <f>IF(OR(B6="3 Yrs Enh",B6="3 Yrs Pack"),"TP Premium for 3 Years","TP Premium for 2 Years")</f>
        <v>TP Premium for 3 Years</v>
      </c>
      <c r="F10" s="315">
        <f>IF(OR(B6="3 Yrs Enh",B6="3 Yrs Pack"),F9*3,F9*2)</f>
        <v>6969</v>
      </c>
      <c r="G10" s="305"/>
      <c r="H10" s="305"/>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row>
    <row r="11" spans="1:97" ht="16.7" customHeight="1">
      <c r="A11" s="66" t="s">
        <v>345</v>
      </c>
      <c r="B11" s="67">
        <f ca="1">IF(OR(B6="3 Yrs Enh",B6="3 Yrs Pack"),AW133,0)</f>
        <v>1.8440000000000001</v>
      </c>
      <c r="C11" s="66" t="s">
        <v>401</v>
      </c>
      <c r="D11" s="77">
        <f ca="1">IF(OR(B6="3 Yrs Enh",B6="3 Yrs Pack"),B14*0.3*(100-D3)%,B14*0.2*(100-D3)%)</f>
        <v>577.20000000000005</v>
      </c>
      <c r="E11" s="316" t="s">
        <v>382</v>
      </c>
      <c r="F11" s="315">
        <f>IF($F$4="yes",275,0)</f>
        <v>275</v>
      </c>
      <c r="G11" s="305"/>
      <c r="H11" s="305"/>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row>
    <row r="12" spans="1:97" ht="20.25" customHeight="1">
      <c r="A12" s="69" t="s">
        <v>347</v>
      </c>
      <c r="B12" s="77">
        <f ca="1">BG121</f>
        <v>118290.375</v>
      </c>
      <c r="C12" s="66" t="s">
        <v>402</v>
      </c>
      <c r="D12" s="77">
        <f ca="1">IF(OR(B6="3 Yrs Enh",B6="3 Yrs Pack"),B15*0.3*(100-D3)%,B15*0.2*(100-D3)%)</f>
        <v>523.43999999999994</v>
      </c>
      <c r="E12" s="316" t="str">
        <f>IF(OR(B6="3 Yrs Enh",B6="3 Yrs Pack"),"Premium For Owner/Driver for 3 Yrs","Premium For Owner/Driver for 2 Yrs")</f>
        <v>Premium For Owner/Driver for 3 Yrs</v>
      </c>
      <c r="F12" s="318">
        <f>IF(OR(B6="3 Yrs Enh",B6="3 Yrs Pack"),F11*3,F11*2)</f>
        <v>825</v>
      </c>
      <c r="G12" s="305"/>
      <c r="H12" s="987" t="s">
        <v>29</v>
      </c>
      <c r="I12" s="988">
        <f ca="1">ROUNDUP($F$15+$F$16,0)</f>
        <v>13892</v>
      </c>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row>
    <row r="13" spans="1:97" ht="17.25" customHeight="1">
      <c r="A13" s="69" t="s">
        <v>394</v>
      </c>
      <c r="B13" s="319">
        <f ca="1">IF(OR(B6="3 Yrs Enh",B6="3 Yrs Pack"),BG122,0)</f>
        <v>101391.75</v>
      </c>
      <c r="C13" s="66" t="s">
        <v>410</v>
      </c>
      <c r="D13" s="77">
        <f ca="1">0.3*B16*(100-D3)%</f>
        <v>448.71932880000008</v>
      </c>
      <c r="E13" s="314" t="s">
        <v>28</v>
      </c>
      <c r="F13" s="320">
        <f>IF(OR(B6="3 Yrs Enh",B6="3 Yrs Pack"),$F$5*70*3,$F$5*70*2)</f>
        <v>210</v>
      </c>
      <c r="G13" s="305"/>
      <c r="H13" s="987"/>
      <c r="I13" s="988"/>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row>
    <row r="14" spans="1:97" ht="18.600000000000001" customHeight="1">
      <c r="A14" s="69" t="s">
        <v>25</v>
      </c>
      <c r="B14" s="317">
        <f ca="1">ROUNDUP($B$3*$B$9%,0)</f>
        <v>2405</v>
      </c>
      <c r="C14" s="66" t="s">
        <v>383</v>
      </c>
      <c r="D14" s="77">
        <f ca="1">D11+D12+D13</f>
        <v>1549.3593288</v>
      </c>
      <c r="E14" s="314" t="s">
        <v>31</v>
      </c>
      <c r="F14" s="321">
        <f>F10+F12+F13</f>
        <v>8004</v>
      </c>
      <c r="G14" s="305"/>
      <c r="H14" s="305"/>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row>
    <row r="15" spans="1:97" ht="18">
      <c r="A15" s="69" t="s">
        <v>344</v>
      </c>
      <c r="B15" s="319">
        <f ca="1">ROUND(B12*B10%,0)</f>
        <v>2181</v>
      </c>
      <c r="C15" s="80" t="s">
        <v>384</v>
      </c>
      <c r="D15" s="707">
        <f ca="1">B17+D9-D14-D10</f>
        <v>3768.7717672000003</v>
      </c>
      <c r="E15" s="314" t="s">
        <v>33</v>
      </c>
      <c r="F15" s="322">
        <f ca="1">$F$14+$D$22</f>
        <v>11772.7717672</v>
      </c>
      <c r="G15" s="305"/>
      <c r="H15" s="305"/>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row>
    <row r="16" spans="1:97" ht="17.25">
      <c r="A16" s="69" t="s">
        <v>346</v>
      </c>
      <c r="B16" s="319">
        <f ca="1">B11%*B13</f>
        <v>1869.6638700000001</v>
      </c>
      <c r="C16" s="66" t="s">
        <v>390</v>
      </c>
      <c r="D16" s="66">
        <f ca="1">AW135</f>
        <v>0.22</v>
      </c>
      <c r="E16" s="314" t="s">
        <v>514</v>
      </c>
      <c r="F16" s="322">
        <f ca="1">'Motor Home Page'!N1%*$F$15</f>
        <v>2119.098918096</v>
      </c>
      <c r="G16" s="305"/>
      <c r="H16" s="305"/>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row>
    <row r="17" spans="1:97" ht="21.6" customHeight="1">
      <c r="A17" s="66" t="s">
        <v>218</v>
      </c>
      <c r="B17" s="707">
        <f ca="1">B14+B15+B16</f>
        <v>6455.6638700000003</v>
      </c>
      <c r="C17" s="66" t="s">
        <v>403</v>
      </c>
      <c r="D17" s="66">
        <f ca="1">AW135%*B3</f>
        <v>286.85580000000004</v>
      </c>
      <c r="E17" s="305"/>
      <c r="F17" s="305"/>
      <c r="G17" s="7"/>
      <c r="H17" s="7"/>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row>
    <row r="18" spans="1:97" ht="16.7" customHeight="1">
      <c r="A18" s="305"/>
      <c r="B18" s="305"/>
      <c r="C18" s="66" t="s">
        <v>391</v>
      </c>
      <c r="D18" s="66">
        <f ca="1">AW136</f>
        <v>0.3</v>
      </c>
      <c r="E18" s="17"/>
      <c r="F18" s="17"/>
      <c r="G18" s="7"/>
      <c r="H18" s="7"/>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row>
    <row r="19" spans="1:97" ht="18.75">
      <c r="C19" s="66" t="s">
        <v>404</v>
      </c>
      <c r="D19" s="77">
        <f ca="1">D18*B12%</f>
        <v>354.87112499999995</v>
      </c>
      <c r="E19" s="82"/>
      <c r="F19" s="82"/>
      <c r="G19" s="7"/>
      <c r="H19" s="7"/>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row>
    <row r="20" spans="1:97" ht="16.7" customHeight="1">
      <c r="A20" s="305"/>
      <c r="B20" s="305"/>
      <c r="C20" s="66" t="s">
        <v>395</v>
      </c>
      <c r="D20" s="66">
        <f ca="1">AW137</f>
        <v>0.4</v>
      </c>
      <c r="E20" s="710"/>
      <c r="F20" s="708"/>
      <c r="G20" s="7"/>
      <c r="H20" s="7"/>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row>
    <row r="21" spans="1:97" ht="17.25">
      <c r="A21" s="305"/>
      <c r="B21" s="305"/>
      <c r="C21" s="66" t="s">
        <v>405</v>
      </c>
      <c r="D21" s="77">
        <f ca="1">D20*B13%</f>
        <v>405.56700000000001</v>
      </c>
      <c r="E21" s="29"/>
      <c r="F21" s="324"/>
      <c r="G21" s="7"/>
      <c r="H21" s="7"/>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row>
    <row r="22" spans="1:97" ht="17.25">
      <c r="A22" s="305"/>
      <c r="B22" s="305"/>
      <c r="C22" s="80" t="s">
        <v>35</v>
      </c>
      <c r="D22" s="709">
        <f ca="1">IF(OR(B6="3 Yrs Enh",B6="2 Yrs Enh"),D15+D17+D19+D21,D15)</f>
        <v>3768.7717672000003</v>
      </c>
      <c r="E22" s="29"/>
      <c r="F22" s="31"/>
      <c r="G22" s="7"/>
      <c r="H22" s="7"/>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row>
    <row r="23" spans="1:97">
      <c r="A23" s="305"/>
      <c r="B23" s="305"/>
      <c r="E23" s="323"/>
      <c r="F23" s="324"/>
      <c r="G23" s="7"/>
      <c r="H23" s="7"/>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row>
    <row r="24" spans="1:97">
      <c r="A24" s="305"/>
      <c r="B24" s="305"/>
      <c r="E24" s="323"/>
      <c r="F24" s="324"/>
      <c r="G24" s="7"/>
      <c r="H24" s="7"/>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row>
    <row r="25" spans="1:97">
      <c r="A25" s="305"/>
      <c r="B25" s="305"/>
      <c r="E25" s="29"/>
      <c r="F25" s="31"/>
      <c r="G25" s="7"/>
      <c r="H25" s="7"/>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row>
    <row r="26" spans="1:97">
      <c r="A26" s="305"/>
      <c r="B26" s="305"/>
      <c r="C26" s="26"/>
      <c r="D26" s="23"/>
      <c r="E26" s="33"/>
      <c r="F26" s="34"/>
      <c r="G26" s="7"/>
      <c r="H26" s="7"/>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row>
    <row r="27" spans="1:97" ht="18.75">
      <c r="A27" s="305"/>
      <c r="B27" s="305"/>
      <c r="C27" s="26"/>
      <c r="D27" s="23"/>
      <c r="E27" s="33"/>
      <c r="F27" s="35"/>
      <c r="G27" s="7"/>
      <c r="H27" s="7"/>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row>
    <row r="28" spans="1:97">
      <c r="A28" s="305"/>
      <c r="B28" s="305"/>
      <c r="C28" s="26"/>
      <c r="D28" s="325"/>
      <c r="E28" s="37"/>
      <c r="F28" s="37"/>
      <c r="G28" s="7"/>
      <c r="H28" s="7"/>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row>
    <row r="29" spans="1:97" ht="18.75">
      <c r="A29" s="32"/>
      <c r="B29" s="32"/>
      <c r="C29" s="326"/>
      <c r="D29" s="23"/>
      <c r="E29" s="963"/>
      <c r="F29" s="963"/>
      <c r="G29" s="7"/>
      <c r="H29" s="7"/>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row>
    <row r="30" spans="1:97">
      <c r="A30" s="32"/>
      <c r="B30" s="32"/>
      <c r="C30" s="32"/>
      <c r="D30" s="39"/>
      <c r="E30" s="29"/>
      <c r="F30" s="324"/>
      <c r="G30" s="7"/>
      <c r="H30" s="7"/>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row>
    <row r="31" spans="1:97">
      <c r="A31" s="32"/>
      <c r="B31" s="32"/>
      <c r="C31" s="32"/>
      <c r="D31" s="39"/>
      <c r="E31" s="327"/>
      <c r="F31" s="328"/>
      <c r="G31" s="7"/>
      <c r="H31" s="7"/>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row>
    <row r="32" spans="1:97">
      <c r="A32" s="32"/>
      <c r="B32" s="32"/>
      <c r="C32" s="32"/>
      <c r="D32" s="39"/>
      <c r="E32" s="327"/>
      <c r="F32" s="328"/>
      <c r="G32" s="7"/>
      <c r="H32" s="7"/>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row>
    <row r="33" spans="1:97">
      <c r="A33" s="32"/>
      <c r="B33" s="32"/>
      <c r="C33" s="32"/>
      <c r="D33" s="39"/>
      <c r="E33" s="327"/>
      <c r="F33" s="328"/>
      <c r="G33" s="7"/>
      <c r="H33" s="7"/>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row>
    <row r="34" spans="1:97" ht="15.75">
      <c r="A34" s="32"/>
      <c r="B34" s="32"/>
      <c r="C34" s="32"/>
      <c r="D34" s="32"/>
      <c r="E34" s="42"/>
      <c r="F34" s="32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row>
    <row r="35" spans="1:97" ht="15.75">
      <c r="A35" s="32"/>
      <c r="B35" s="32"/>
      <c r="C35" s="32"/>
      <c r="D35" s="32"/>
      <c r="E35" s="327"/>
      <c r="F35" s="32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row>
    <row r="36" spans="1:97" ht="15" customHeight="1">
      <c r="A36" s="32"/>
      <c r="B36" s="32"/>
      <c r="C36" s="32"/>
      <c r="D36" s="32"/>
      <c r="E36" s="33"/>
      <c r="F36" s="44"/>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row>
    <row r="37" spans="1:97" ht="18.75">
      <c r="A37" s="32"/>
      <c r="B37" s="32"/>
      <c r="C37" s="32"/>
      <c r="D37" s="32"/>
      <c r="E37" s="45"/>
      <c r="F37" s="35"/>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row>
    <row r="38" spans="1:97">
      <c r="A38" s="32"/>
      <c r="B38" s="32"/>
      <c r="C38" s="32"/>
      <c r="D38" s="32"/>
      <c r="E38" s="28"/>
      <c r="F38" s="28"/>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row>
    <row r="39" spans="1:97">
      <c r="A39" s="32"/>
      <c r="B39" s="32"/>
      <c r="C39" s="32"/>
      <c r="D39" s="32"/>
      <c r="E39" s="28"/>
      <c r="F39" s="28"/>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row>
    <row r="40" spans="1:97">
      <c r="A40" s="32"/>
      <c r="B40" s="32"/>
      <c r="C40" s="32"/>
      <c r="D40" s="32"/>
      <c r="E40" s="28"/>
      <c r="F40" s="28"/>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row>
    <row r="41" spans="1:97">
      <c r="A41" s="32"/>
      <c r="B41" s="32"/>
      <c r="C41" s="32"/>
      <c r="D41" s="32"/>
      <c r="E41" s="28"/>
      <c r="F41" s="28"/>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row>
    <row r="42" spans="1:97">
      <c r="A42" s="32"/>
      <c r="B42" s="32"/>
      <c r="C42" s="32"/>
      <c r="D42" s="32"/>
      <c r="E42" s="28"/>
      <c r="F42" s="28"/>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row>
    <row r="43" spans="1:97">
      <c r="A43" s="32"/>
      <c r="B43" s="32"/>
      <c r="C43" s="32"/>
      <c r="D43" s="32"/>
      <c r="E43" s="28"/>
      <c r="F43" s="28"/>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row>
    <row r="44" spans="1:97">
      <c r="A44" s="32"/>
      <c r="B44" s="32"/>
      <c r="C44" s="32"/>
      <c r="D44" s="32"/>
      <c r="E44" s="28"/>
      <c r="F44" s="28"/>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row>
    <row r="45" spans="1:97">
      <c r="A45" s="32"/>
      <c r="B45" s="32"/>
      <c r="C45" s="32"/>
      <c r="D45" s="32"/>
      <c r="E45" s="28"/>
      <c r="F45" s="28"/>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row>
    <row r="46" spans="1:97">
      <c r="A46" s="32"/>
      <c r="B46" s="32"/>
      <c r="C46" s="32"/>
      <c r="D46" s="32"/>
      <c r="E46" s="28"/>
      <c r="F46" s="28"/>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row>
    <row r="47" spans="1:97">
      <c r="A47" s="32"/>
      <c r="B47" s="32"/>
      <c r="C47" s="32"/>
      <c r="D47" s="32"/>
      <c r="E47" s="28"/>
      <c r="F47" s="28"/>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row>
    <row r="48" spans="1:97">
      <c r="A48" s="32"/>
      <c r="B48" s="32"/>
      <c r="C48" s="32"/>
      <c r="D48" s="32"/>
      <c r="E48" s="28"/>
      <c r="F48" s="28"/>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row>
    <row r="49" spans="1:97">
      <c r="A49" s="32"/>
      <c r="B49" s="32"/>
      <c r="C49" s="32"/>
      <c r="D49" s="32"/>
      <c r="E49" s="28"/>
      <c r="F49" s="28"/>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row>
    <row r="50" spans="1:97">
      <c r="A50" s="32"/>
      <c r="B50" s="32"/>
      <c r="C50" s="32"/>
      <c r="D50" s="32"/>
      <c r="E50" s="28"/>
      <c r="F50" s="28"/>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row>
    <row r="51" spans="1:97">
      <c r="A51" s="32"/>
      <c r="B51" s="32"/>
      <c r="C51" s="32"/>
      <c r="D51" s="32"/>
      <c r="E51" s="28"/>
      <c r="F51" s="28"/>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row>
    <row r="52" spans="1:97">
      <c r="A52" s="32"/>
      <c r="B52" s="32"/>
      <c r="C52" s="32"/>
      <c r="D52" s="32"/>
      <c r="E52" s="304"/>
      <c r="F52" s="47"/>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row>
    <row r="53" spans="1:97">
      <c r="A53" s="32"/>
      <c r="B53" s="32"/>
      <c r="C53" s="32"/>
      <c r="D53" s="32"/>
      <c r="E53" s="48"/>
      <c r="F53" s="47"/>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row>
    <row r="54" spans="1:97">
      <c r="A54" s="32"/>
      <c r="B54" s="32"/>
      <c r="C54" s="32"/>
      <c r="D54" s="32"/>
      <c r="E54" s="28"/>
      <c r="F54" s="28"/>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row>
    <row r="55" spans="1:97">
      <c r="A55" s="32"/>
      <c r="B55" s="32"/>
      <c r="C55" s="32"/>
      <c r="D55" s="32"/>
      <c r="E55" s="28"/>
      <c r="F55" s="28"/>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row>
    <row r="56" spans="1:97">
      <c r="A56" s="32"/>
      <c r="B56" s="32"/>
      <c r="C56" s="32"/>
      <c r="D56" s="32"/>
      <c r="E56" s="28"/>
      <c r="F56" s="28"/>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row>
    <row r="57" spans="1:97">
      <c r="A57" s="32"/>
      <c r="B57" s="32"/>
      <c r="C57" s="32"/>
      <c r="D57" s="32"/>
      <c r="E57" s="28"/>
      <c r="F57" s="28"/>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row>
    <row r="58" spans="1:97">
      <c r="A58" s="32"/>
      <c r="B58" s="32"/>
      <c r="C58" s="32"/>
      <c r="D58" s="32"/>
      <c r="E58" s="28"/>
      <c r="F58" s="28"/>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row>
    <row r="59" spans="1:97">
      <c r="A59" s="32"/>
      <c r="B59" s="32"/>
      <c r="C59" s="32"/>
      <c r="D59" s="32"/>
      <c r="E59" s="28"/>
      <c r="F59" s="28"/>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row>
    <row r="60" spans="1:97">
      <c r="A60" s="32"/>
      <c r="B60" s="32"/>
      <c r="C60" s="32"/>
      <c r="D60" s="32"/>
      <c r="E60" s="28"/>
      <c r="F60" s="28"/>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row>
    <row r="61" spans="1:97">
      <c r="A61" s="32"/>
      <c r="B61" s="32"/>
      <c r="C61" s="32"/>
      <c r="D61" s="32"/>
      <c r="E61" s="28"/>
      <c r="F61" s="28"/>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row>
    <row r="62" spans="1:97">
      <c r="E62" s="28"/>
      <c r="F62" s="28"/>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row>
    <row r="63" spans="1:97">
      <c r="E63" s="28"/>
      <c r="F63" s="28"/>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row>
    <row r="64" spans="1:97">
      <c r="E64" s="28"/>
      <c r="F64" s="28"/>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row>
    <row r="65" spans="5:97">
      <c r="E65" s="28"/>
      <c r="F65" s="28"/>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row>
    <row r="66" spans="5:97">
      <c r="E66" s="28"/>
      <c r="F66" s="28"/>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row>
    <row r="67" spans="5:97">
      <c r="E67" s="28"/>
      <c r="F67" s="28"/>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row>
    <row r="68" spans="5:97">
      <c r="E68" s="28"/>
      <c r="F68" s="28"/>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row>
    <row r="69" spans="5:97">
      <c r="E69" s="28"/>
      <c r="F69" s="28"/>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row>
    <row r="70" spans="5:97">
      <c r="E70" s="28"/>
      <c r="F70" s="28"/>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row>
    <row r="71" spans="5:97">
      <c r="E71" s="28"/>
      <c r="F71" s="28"/>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row>
    <row r="72" spans="5:97">
      <c r="E72" s="28"/>
      <c r="F72" s="28"/>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row>
    <row r="73" spans="5:97">
      <c r="E73" s="28"/>
      <c r="F73" s="28"/>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row>
    <row r="74" spans="5:97">
      <c r="E74" s="28"/>
      <c r="F74" s="28"/>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row>
    <row r="75" spans="5:97">
      <c r="E75" s="28"/>
      <c r="F75" s="28"/>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row>
    <row r="76" spans="5:97">
      <c r="E76" s="28"/>
      <c r="F76" s="28"/>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row>
    <row r="77" spans="5:97">
      <c r="E77" s="28"/>
      <c r="F77" s="28"/>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row>
    <row r="78" spans="5:97">
      <c r="E78" s="28"/>
      <c r="F78" s="28"/>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row>
    <row r="79" spans="5:97">
      <c r="E79" s="28"/>
      <c r="F79" s="28"/>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row>
    <row r="80" spans="5:97">
      <c r="E80" s="28"/>
      <c r="F80" s="28"/>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row>
    <row r="81" spans="5:97">
      <c r="E81" s="28"/>
      <c r="F81" s="28"/>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row>
    <row r="82" spans="5:97">
      <c r="E82" s="28"/>
      <c r="F82" s="28"/>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row>
    <row r="83" spans="5:97">
      <c r="E83" s="28"/>
      <c r="F83" s="28"/>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row>
    <row r="84" spans="5:97">
      <c r="E84" s="28"/>
      <c r="F84" s="28"/>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row>
    <row r="85" spans="5:97">
      <c r="E85" s="28"/>
      <c r="F85" s="28"/>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row>
    <row r="86" spans="5:97">
      <c r="E86" s="28"/>
      <c r="F86" s="28"/>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row>
    <row r="87" spans="5:97">
      <c r="E87" s="28"/>
      <c r="F87" s="28"/>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row>
    <row r="88" spans="5:97">
      <c r="E88" s="28"/>
      <c r="F88" s="28"/>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row>
    <row r="89" spans="5:97">
      <c r="E89" s="28"/>
      <c r="F89" s="28"/>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row>
    <row r="90" spans="5:97">
      <c r="E90" s="28"/>
      <c r="F90" s="28"/>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row>
    <row r="91" spans="5:97">
      <c r="E91" s="28"/>
      <c r="F91" s="28"/>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row>
    <row r="92" spans="5:97">
      <c r="E92" s="28"/>
      <c r="F92" s="28"/>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row>
    <row r="93" spans="5:97">
      <c r="E93" s="28"/>
      <c r="F93" s="28"/>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row>
    <row r="94" spans="5:97">
      <c r="E94" s="28"/>
      <c r="F94" s="28"/>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row>
    <row r="95" spans="5:97">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t="s">
        <v>46</v>
      </c>
      <c r="AZ95" s="49">
        <f>IF(OR($D$5="&lt;75",$D$5="76-150"),1.708,IF($D$5="151-350",1.793,IF($D$5="&gt;350",1.879,0)))</f>
        <v>1.879</v>
      </c>
      <c r="BA95" s="49"/>
      <c r="BB95" s="49"/>
      <c r="BC95" s="49"/>
      <c r="BD95" s="49"/>
      <c r="BE95" s="49"/>
      <c r="BF95" s="49"/>
      <c r="BG95" s="49" t="e">
        <f>#N/A</f>
        <v>#N/A</v>
      </c>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row>
    <row r="96" spans="5:97">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t="s">
        <v>11</v>
      </c>
      <c r="AZ96" s="49">
        <f>IF(OR($D$5="&lt;75",$D$5="76-150"),1.676,IF($D$5="151-350",1.76,IF($D$5="&gt;350",1.844,0)))</f>
        <v>1.8440000000000001</v>
      </c>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row>
    <row r="97" spans="10:97">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t="s">
        <v>36</v>
      </c>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row>
    <row r="98" spans="10:97">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row>
    <row r="99" spans="10:97">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row>
    <row r="100" spans="10:97">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989" t="s">
        <v>37</v>
      </c>
      <c r="BH100" s="989"/>
      <c r="BI100" s="989"/>
      <c r="BJ100" s="98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row>
    <row r="101" spans="10:97">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990"/>
      <c r="AW101" s="990"/>
      <c r="AX101" s="49" t="s">
        <v>87</v>
      </c>
      <c r="AY101" s="991" t="s">
        <v>38</v>
      </c>
      <c r="AZ101" s="991"/>
      <c r="BA101" s="49" t="s">
        <v>12</v>
      </c>
      <c r="BB101" s="49" t="s">
        <v>39</v>
      </c>
      <c r="BC101" s="49" t="s">
        <v>40</v>
      </c>
      <c r="BD101" s="49" t="s">
        <v>41</v>
      </c>
      <c r="BE101" s="49" t="s">
        <v>42</v>
      </c>
      <c r="BF101" s="49"/>
      <c r="BG101" s="49" t="s">
        <v>43</v>
      </c>
      <c r="BH101" s="49" t="s">
        <v>19</v>
      </c>
      <c r="BI101" s="50" t="s">
        <v>44</v>
      </c>
      <c r="BJ101" s="49" t="s">
        <v>45</v>
      </c>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row>
    <row r="102" spans="10:97">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t="s">
        <v>348</v>
      </c>
      <c r="AY102" s="49" t="s">
        <v>349</v>
      </c>
      <c r="AZ102" s="213"/>
      <c r="BA102" s="49">
        <v>0</v>
      </c>
      <c r="BB102" s="49" t="s">
        <v>37</v>
      </c>
      <c r="BC102" s="49" t="s">
        <v>37</v>
      </c>
      <c r="BD102" s="49" t="s">
        <v>47</v>
      </c>
      <c r="BE102" s="49" t="s">
        <v>14</v>
      </c>
      <c r="BF102" s="49" t="s">
        <v>17</v>
      </c>
      <c r="BG102" s="330">
        <v>1.708</v>
      </c>
      <c r="BH102" s="330">
        <v>1.708</v>
      </c>
      <c r="BI102" s="330">
        <v>1.7930000000000001</v>
      </c>
      <c r="BJ102" s="330">
        <v>1.879</v>
      </c>
      <c r="BK102" s="49"/>
      <c r="BL102" s="49"/>
      <c r="BM102" s="49"/>
      <c r="BN102" s="49" t="s">
        <v>17</v>
      </c>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row>
    <row r="103" spans="10:97">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t="s">
        <v>350</v>
      </c>
      <c r="AY103" s="213" t="s">
        <v>351</v>
      </c>
      <c r="AZ103" s="213"/>
      <c r="BA103" s="49">
        <v>20</v>
      </c>
      <c r="BB103" s="49" t="s">
        <v>49</v>
      </c>
      <c r="BC103" s="49" t="s">
        <v>49</v>
      </c>
      <c r="BD103" s="49" t="s">
        <v>19</v>
      </c>
      <c r="BE103" s="49" t="s">
        <v>50</v>
      </c>
      <c r="BF103" s="49" t="s">
        <v>51</v>
      </c>
      <c r="BG103" s="330">
        <v>1.7930000000000001</v>
      </c>
      <c r="BH103" s="330">
        <v>1.7930000000000001</v>
      </c>
      <c r="BI103" s="330">
        <v>1.883</v>
      </c>
      <c r="BJ103" s="330">
        <v>1.9729999999999999</v>
      </c>
      <c r="BK103" s="49"/>
      <c r="BL103" s="49"/>
      <c r="BM103" s="49"/>
      <c r="BN103" s="49" t="s">
        <v>51</v>
      </c>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row>
    <row r="104" spans="10:97">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t="s">
        <v>352</v>
      </c>
      <c r="AY104" s="49" t="s">
        <v>353</v>
      </c>
      <c r="AZ104" s="49"/>
      <c r="BA104" s="49">
        <v>25</v>
      </c>
      <c r="BB104" s="49" t="s">
        <v>52</v>
      </c>
      <c r="BC104" s="49"/>
      <c r="BD104" s="49" t="s">
        <v>44</v>
      </c>
      <c r="BE104" s="49"/>
      <c r="BF104" s="49">
        <v>10.1</v>
      </c>
      <c r="BG104" s="330">
        <v>1.8359999999999999</v>
      </c>
      <c r="BH104" s="330">
        <v>1.8359999999999999</v>
      </c>
      <c r="BI104" s="330">
        <v>1.9279999999999999</v>
      </c>
      <c r="BJ104" s="330">
        <v>2.02</v>
      </c>
      <c r="BK104" s="49"/>
      <c r="BL104" s="49"/>
      <c r="BM104" s="49"/>
      <c r="BN104" s="49" t="s">
        <v>53</v>
      </c>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row>
    <row r="105" spans="10:97">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t="s">
        <v>354</v>
      </c>
      <c r="AY105" s="49" t="s">
        <v>355</v>
      </c>
      <c r="AZ105" s="213"/>
      <c r="BA105" s="49">
        <v>35</v>
      </c>
      <c r="BB105" s="49"/>
      <c r="BC105" s="49"/>
      <c r="BD105" s="49" t="s">
        <v>45</v>
      </c>
      <c r="BE105" s="49"/>
      <c r="BF105" s="49"/>
      <c r="BG105" s="49"/>
      <c r="BH105" s="330"/>
      <c r="BI105" s="330"/>
      <c r="BJ105" s="330"/>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row>
    <row r="106" spans="10:97">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t="s">
        <v>356</v>
      </c>
      <c r="AY106" s="49" t="s">
        <v>357</v>
      </c>
      <c r="AZ106" s="49"/>
      <c r="BA106" s="49">
        <v>45</v>
      </c>
      <c r="BB106" s="49"/>
      <c r="BC106" s="49"/>
      <c r="BD106" s="49"/>
      <c r="BE106" s="49"/>
      <c r="BF106" s="49"/>
      <c r="BG106" s="984" t="s">
        <v>49</v>
      </c>
      <c r="BH106" s="984"/>
      <c r="BI106" s="984"/>
      <c r="BJ106" s="984"/>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row>
    <row r="107" spans="10:97">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t="s">
        <v>358</v>
      </c>
      <c r="AY107" s="49" t="s">
        <v>359</v>
      </c>
      <c r="AZ107" s="49"/>
      <c r="BA107" s="49">
        <v>50</v>
      </c>
      <c r="BB107" s="49"/>
      <c r="BC107" s="49"/>
      <c r="BD107" s="49"/>
      <c r="BE107" s="49"/>
      <c r="BF107" s="49"/>
      <c r="BG107" s="49" t="s">
        <v>47</v>
      </c>
      <c r="BH107" s="49" t="s">
        <v>19</v>
      </c>
      <c r="BI107" s="50" t="s">
        <v>44</v>
      </c>
      <c r="BJ107" s="49" t="s">
        <v>45</v>
      </c>
      <c r="BK107" s="49"/>
      <c r="BL107" s="49"/>
      <c r="BM107" s="49"/>
      <c r="BN107" s="49"/>
      <c r="BO107" s="49"/>
      <c r="BP107" s="50"/>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row>
    <row r="108" spans="10:97">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t="s">
        <v>17</v>
      </c>
      <c r="BG108" s="330">
        <v>1.6760000000000002</v>
      </c>
      <c r="BH108" s="330">
        <v>1.6760000000000002</v>
      </c>
      <c r="BI108" s="330">
        <v>1.76</v>
      </c>
      <c r="BJ108" s="330">
        <v>1.8439999999999999</v>
      </c>
      <c r="BK108" s="49"/>
      <c r="BL108" s="49"/>
      <c r="BM108" s="49"/>
      <c r="BN108" s="330"/>
      <c r="BO108" s="330"/>
      <c r="BP108" s="330"/>
      <c r="BQ108" s="330"/>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row>
    <row r="109" spans="10:97">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t="s">
        <v>51</v>
      </c>
      <c r="BG109" s="330">
        <v>1.76</v>
      </c>
      <c r="BH109" s="330">
        <v>1.76</v>
      </c>
      <c r="BI109" s="330">
        <v>1.8479999999999999</v>
      </c>
      <c r="BJ109" s="330">
        <v>1.9359999999999999</v>
      </c>
      <c r="BK109" s="49"/>
      <c r="BL109" s="49"/>
      <c r="BM109" s="49"/>
      <c r="BN109" s="330"/>
      <c r="BO109" s="330"/>
      <c r="BP109" s="330"/>
      <c r="BQ109" s="330"/>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row>
    <row r="110" spans="10:97">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v>10.1</v>
      </c>
      <c r="BG110" s="330">
        <v>1.802</v>
      </c>
      <c r="BH110" s="330">
        <v>1.802</v>
      </c>
      <c r="BI110" s="330">
        <v>1.8919999999999999</v>
      </c>
      <c r="BJ110" s="330">
        <v>1.982</v>
      </c>
      <c r="BK110" s="49"/>
      <c r="BL110" s="49"/>
      <c r="BM110" s="49"/>
      <c r="BN110" s="330"/>
      <c r="BO110" s="330"/>
      <c r="BP110" s="330"/>
      <c r="BQ110" s="330"/>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row>
    <row r="111" spans="10:97">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55"/>
      <c r="BH111" s="331"/>
      <c r="BI111" s="331"/>
      <c r="BJ111" s="331"/>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row>
    <row r="112" spans="10:97">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57"/>
      <c r="AW112" s="57"/>
      <c r="AX112" s="57"/>
      <c r="AY112" s="57"/>
      <c r="AZ112" s="57"/>
      <c r="BA112" s="57"/>
      <c r="BB112" s="57"/>
      <c r="BC112" s="57"/>
      <c r="BD112" s="57"/>
      <c r="BE112" s="57"/>
      <c r="BF112" s="57"/>
      <c r="BG112" s="57"/>
      <c r="BH112" s="57"/>
      <c r="BI112" s="57"/>
      <c r="BJ112" s="57"/>
      <c r="BK112" s="57"/>
      <c r="BL112" s="57"/>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row>
    <row r="113" spans="10:97">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785"/>
      <c r="AW113" s="785"/>
      <c r="AX113" s="785"/>
      <c r="AY113" s="785"/>
      <c r="AZ113" s="785"/>
      <c r="BA113" s="785"/>
      <c r="BB113" s="785"/>
      <c r="BC113" s="785"/>
      <c r="BD113" s="785"/>
      <c r="BE113" s="785"/>
      <c r="BF113" s="785"/>
      <c r="BG113" s="785"/>
      <c r="BH113" s="785"/>
      <c r="BI113" s="785"/>
      <c r="BJ113" s="57"/>
      <c r="BK113" s="57"/>
      <c r="BL113" s="57"/>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row>
    <row r="114" spans="10:97">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785"/>
      <c r="AW114" s="785"/>
      <c r="AX114" s="785"/>
      <c r="AY114" s="785"/>
      <c r="AZ114" s="785"/>
      <c r="BA114" s="785"/>
      <c r="BB114" s="785"/>
      <c r="BC114" s="785"/>
      <c r="BD114" s="785"/>
      <c r="BE114" s="785"/>
      <c r="BF114" s="785"/>
      <c r="BG114" s="785"/>
      <c r="BH114" s="785"/>
      <c r="BI114" s="785"/>
      <c r="BJ114" s="57"/>
      <c r="BK114" s="57"/>
      <c r="BL114" s="57"/>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row>
    <row r="115" spans="10:97">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785"/>
      <c r="AW115" s="786"/>
      <c r="AX115" s="785" t="s">
        <v>348</v>
      </c>
      <c r="AY115" s="785"/>
      <c r="AZ115" s="785"/>
      <c r="BA115" s="785" t="s">
        <v>360</v>
      </c>
      <c r="BB115" s="786"/>
      <c r="BC115" s="786"/>
      <c r="BD115" s="785"/>
      <c r="BE115" s="785"/>
      <c r="BF115" s="785"/>
      <c r="BG115" s="785"/>
      <c r="BH115" s="785"/>
      <c r="BI115" s="785"/>
      <c r="BJ115" s="57"/>
      <c r="BK115" s="57"/>
      <c r="BL115" s="57"/>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row>
    <row r="116" spans="10:97">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785" t="s">
        <v>361</v>
      </c>
      <c r="AW116" s="787">
        <f>B5</f>
        <v>43273</v>
      </c>
      <c r="AX116" s="785" t="s">
        <v>350</v>
      </c>
      <c r="AY116" s="785"/>
      <c r="AZ116" s="785"/>
      <c r="BA116" s="785" t="str">
        <f ca="1">AW119</f>
        <v>&gt;1</v>
      </c>
      <c r="BB116" s="785" t="s">
        <v>362</v>
      </c>
      <c r="BC116" s="785">
        <f>(B3+F3)</f>
        <v>135189</v>
      </c>
      <c r="BD116" s="785"/>
      <c r="BE116" s="785"/>
      <c r="BF116" s="785"/>
      <c r="BG116" s="785"/>
      <c r="BH116" s="785"/>
      <c r="BI116" s="785"/>
      <c r="BJ116" s="57"/>
      <c r="BK116" s="57"/>
      <c r="BL116" s="57"/>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row>
    <row r="117" spans="10:97">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785" t="s">
        <v>363</v>
      </c>
      <c r="AW117" s="785" t="e">
        <f>#N/A</f>
        <v>#N/A</v>
      </c>
      <c r="AX117" s="785" t="s">
        <v>352</v>
      </c>
      <c r="AY117" s="785"/>
      <c r="AZ117" s="785"/>
      <c r="BA117" s="785" t="str">
        <f ca="1">AW121</f>
        <v>&gt;2</v>
      </c>
      <c r="BB117" s="785">
        <v>2</v>
      </c>
      <c r="BC117" s="785"/>
      <c r="BD117" s="785"/>
      <c r="BE117" s="785"/>
      <c r="BF117" s="785"/>
      <c r="BG117" s="785"/>
      <c r="BH117" s="785"/>
      <c r="BI117" s="785"/>
      <c r="BJ117" s="57"/>
      <c r="BK117" s="57"/>
      <c r="BL117" s="57"/>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row>
    <row r="118" spans="10:97">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785" t="s">
        <v>364</v>
      </c>
      <c r="AW118" s="787">
        <f ca="1">(TODAY()-AW116)</f>
        <v>406</v>
      </c>
      <c r="AX118" s="785" t="s">
        <v>354</v>
      </c>
      <c r="AY118" s="785"/>
      <c r="AZ118" s="785"/>
      <c r="BA118" s="785" t="str">
        <f ca="1">AW123</f>
        <v>&gt;3</v>
      </c>
      <c r="BB118" s="785">
        <v>3</v>
      </c>
      <c r="BC118" s="785"/>
      <c r="BD118" s="785"/>
      <c r="BE118" s="785"/>
      <c r="BF118" s="785"/>
      <c r="BG118" s="785"/>
      <c r="BH118" s="785"/>
      <c r="BI118" s="785"/>
      <c r="BJ118" s="57"/>
      <c r="BK118" s="57"/>
      <c r="BL118" s="57"/>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row>
    <row r="119" spans="10:97">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785" t="s">
        <v>365</v>
      </c>
      <c r="AW119" s="788" t="str">
        <f ca="1">IF(AW118&gt;2190,"&gt;6",IF(AW118&gt;1825,"&gt;5",IF(AW118&gt;1460,"&gt;4",IF(AW118&gt;1095,"&gt;3",IF(AW118&gt;730,"&gt;2",IF(AW118&gt;365,"&gt;1","&gt;0"))))))</f>
        <v>&gt;1</v>
      </c>
      <c r="AX119" s="785" t="s">
        <v>356</v>
      </c>
      <c r="AY119" s="785"/>
      <c r="AZ119" s="785"/>
      <c r="BA119" s="785"/>
      <c r="BB119" s="785"/>
      <c r="BC119" s="785"/>
      <c r="BD119" s="785"/>
      <c r="BE119" s="785"/>
      <c r="BF119" s="785"/>
      <c r="BG119" s="785"/>
      <c r="BH119" s="785"/>
      <c r="BI119" s="785"/>
      <c r="BJ119" s="57"/>
      <c r="BK119" s="57"/>
      <c r="BL119" s="57"/>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row>
    <row r="120" spans="10:97">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785" t="s">
        <v>366</v>
      </c>
      <c r="AW120" s="787">
        <f ca="1">AW118+365</f>
        <v>771</v>
      </c>
      <c r="AX120" s="785" t="s">
        <v>358</v>
      </c>
      <c r="AY120" s="785"/>
      <c r="AZ120" s="785"/>
      <c r="BA120" s="785"/>
      <c r="BB120" s="785"/>
      <c r="BC120" s="785"/>
      <c r="BD120" s="785"/>
      <c r="BE120" s="785"/>
      <c r="BF120" s="785"/>
      <c r="BG120" s="785"/>
      <c r="BH120" s="785"/>
      <c r="BI120" s="785"/>
      <c r="BJ120" s="57"/>
      <c r="BK120" s="57"/>
      <c r="BL120" s="57"/>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row>
    <row r="121" spans="10:97">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786" t="s">
        <v>385</v>
      </c>
      <c r="AW121" s="788" t="str">
        <f ca="1">IF(AW120&gt;2190,"&gt;6",IF(AW120&gt;1825,"&gt;5",IF(AW120&gt;1460,"&gt;4",IF(AW120&gt;1095,"&gt;3",IF(AW120&gt;730,"&gt;2",IF(AW120&gt;365,"&gt;1","&gt;0"))))))</f>
        <v>&gt;2</v>
      </c>
      <c r="AX121" s="785"/>
      <c r="AY121" s="785"/>
      <c r="AZ121" s="785"/>
      <c r="BA121" s="785"/>
      <c r="BB121" s="785"/>
      <c r="BC121" s="785"/>
      <c r="BD121" s="785" t="s">
        <v>367</v>
      </c>
      <c r="BE121" s="785">
        <f ca="1">VLOOKUP(D4,BD124:BE130,2,0)</f>
        <v>0.125</v>
      </c>
      <c r="BF121" s="785">
        <f ca="1">BE121*BC116</f>
        <v>16898.625</v>
      </c>
      <c r="BG121" s="789">
        <f ca="1">BC116-BF121</f>
        <v>118290.375</v>
      </c>
      <c r="BH121" s="785"/>
      <c r="BI121" s="785"/>
      <c r="BJ121" s="57"/>
      <c r="BK121" s="57"/>
      <c r="BL121" s="57"/>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row>
    <row r="122" spans="10:97">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785" t="s">
        <v>366</v>
      </c>
      <c r="AW122" s="787">
        <f ca="1">AW120+365</f>
        <v>1136</v>
      </c>
      <c r="AX122" s="785"/>
      <c r="AY122" s="785"/>
      <c r="AZ122" s="785"/>
      <c r="BA122" s="785"/>
      <c r="BB122" s="785"/>
      <c r="BC122" s="785"/>
      <c r="BD122" s="785" t="s">
        <v>368</v>
      </c>
      <c r="BE122" s="785">
        <f ca="1">VLOOKUP(D4,BD124:BF130,3,0)</f>
        <v>0.125</v>
      </c>
      <c r="BF122" s="785">
        <f ca="1">BE122*BC116</f>
        <v>16898.625</v>
      </c>
      <c r="BG122" s="785">
        <f ca="1">BG121-BF122</f>
        <v>101391.75</v>
      </c>
      <c r="BH122" s="785"/>
      <c r="BI122" s="785"/>
      <c r="BJ122" s="57"/>
      <c r="BK122" s="57"/>
      <c r="BL122" s="57"/>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row>
    <row r="123" spans="10:97">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785" t="s">
        <v>386</v>
      </c>
      <c r="AW123" s="788" t="str">
        <f ca="1">IF(AW122&gt;2190,"&gt;6",IF(AW122&gt;1825,"&gt;5",IF(AW122&gt;1460,"&gt;4",IF(AW122&gt;1095,"&gt;3",IF(AW122&gt;730,"&gt;2",IF(AW122&gt;365,"&gt;1","&gt;0"))))))</f>
        <v>&gt;3</v>
      </c>
      <c r="AX123" s="785"/>
      <c r="AY123" s="785"/>
      <c r="AZ123" s="785"/>
      <c r="BA123" s="785"/>
      <c r="BB123" s="785"/>
      <c r="BC123" s="785"/>
      <c r="BD123" s="785"/>
      <c r="BE123" s="785"/>
      <c r="BF123" s="785"/>
      <c r="BG123" s="785"/>
      <c r="BH123" s="785"/>
      <c r="BI123" s="785"/>
      <c r="BJ123" s="57"/>
      <c r="BK123" s="57"/>
      <c r="BL123" s="57"/>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row>
    <row r="124" spans="10:97">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785"/>
      <c r="AW124" s="785" t="s">
        <v>369</v>
      </c>
      <c r="AX124" s="785" t="s">
        <v>370</v>
      </c>
      <c r="AY124" s="785" t="s">
        <v>371</v>
      </c>
      <c r="AZ124" s="785" t="s">
        <v>372</v>
      </c>
      <c r="BA124" s="785"/>
      <c r="BB124" s="785">
        <v>0.15790000000000001</v>
      </c>
      <c r="BC124" s="785"/>
      <c r="BD124" s="785" t="s">
        <v>373</v>
      </c>
      <c r="BE124" s="785">
        <v>0.15790000000000001</v>
      </c>
      <c r="BF124" s="785">
        <v>0.10525714285714301</v>
      </c>
      <c r="BG124" s="785"/>
      <c r="BH124" s="785"/>
      <c r="BI124" s="785"/>
      <c r="BJ124" s="57"/>
      <c r="BK124" s="57"/>
      <c r="BL124" s="57"/>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row>
    <row r="125" spans="10:97">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785" t="s">
        <v>374</v>
      </c>
      <c r="AW125" s="785">
        <f ca="1">IF(OR($AW$119&lt;&gt;"&gt;6",$AW$119&lt;&gt;"&gt;5"),IF(OR($D$5="&lt;75",$D$5="76-150"),1.708,IF($D$5="151-350",1.793,IF($D$5="&gt;350",1.879,0))))</f>
        <v>1.879</v>
      </c>
      <c r="AX125" s="785">
        <f ca="1">IF(OR($AW$119&lt;&gt;"&gt;6",$AW$119&lt;&gt;"&gt;5"),IF(OR($D$5="&lt;75",$D$5="76-150"),1.676,IF($D$5="151-350",1.76,IF($D$5="&gt;350",1.844,0))))</f>
        <v>1.8440000000000001</v>
      </c>
      <c r="AY125" s="785">
        <f>IF(OR($D$5="&lt;75",$D$5="76-150"),1.793,IF($D$5="151-350",1.883,IF($D$5="&gt;350",1.973,0)))</f>
        <v>1.9730000000000001</v>
      </c>
      <c r="AZ125" s="785">
        <f>IF(OR($D$5="&lt;75",$D$5="76-150"),1.76,IF($D$5="151-350",1.848,IF($D$5="&gt;350",1.936,0)))</f>
        <v>1.9359999999999999</v>
      </c>
      <c r="BA125" s="785"/>
      <c r="BB125" s="785">
        <v>0.125</v>
      </c>
      <c r="BC125" s="785"/>
      <c r="BD125" s="785" t="s">
        <v>375</v>
      </c>
      <c r="BE125" s="785">
        <v>0.125</v>
      </c>
      <c r="BF125" s="785">
        <v>0.125</v>
      </c>
      <c r="BG125" s="785"/>
      <c r="BH125" s="785"/>
      <c r="BI125" s="785"/>
      <c r="BJ125" s="57"/>
      <c r="BK125" s="57"/>
      <c r="BL125" s="57"/>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row>
    <row r="126" spans="10:97">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985" t="s">
        <v>46</v>
      </c>
      <c r="AW126" s="985"/>
      <c r="AX126" s="785" t="s">
        <v>11</v>
      </c>
      <c r="AY126" s="785"/>
      <c r="AZ126" s="785"/>
      <c r="BA126" s="785"/>
      <c r="BB126" s="785">
        <v>0.14285714285714302</v>
      </c>
      <c r="BC126" s="785"/>
      <c r="BD126" s="785" t="s">
        <v>376</v>
      </c>
      <c r="BE126" s="785">
        <v>0.14285714285714302</v>
      </c>
      <c r="BF126" s="785">
        <v>0.14285714285714302</v>
      </c>
      <c r="BG126" s="785"/>
      <c r="BH126" s="785"/>
      <c r="BI126" s="785"/>
      <c r="BJ126" s="57"/>
      <c r="BK126" s="57"/>
      <c r="BL126" s="57"/>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row>
    <row r="127" spans="10:97">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785" t="s">
        <v>374</v>
      </c>
      <c r="AW127" s="785">
        <f ca="1">IF(AND($AW$119&lt;&gt;"&gt;6",$AW$119&lt;&gt;"&gt;5"),$AW$125,$AY$125)</f>
        <v>1.879</v>
      </c>
      <c r="AX127" s="785" t="s">
        <v>374</v>
      </c>
      <c r="AY127" s="785">
        <f ca="1">IF(AND($AW$119&lt;&gt;"&gt;6",$AW$119&lt;&gt;"&gt;5"),$AX$125,$AZ$125)</f>
        <v>1.8440000000000001</v>
      </c>
      <c r="AZ127" s="785"/>
      <c r="BA127" s="785"/>
      <c r="BB127" s="785">
        <v>0.16667142857142903</v>
      </c>
      <c r="BC127" s="785"/>
      <c r="BD127" s="785" t="s">
        <v>377</v>
      </c>
      <c r="BE127" s="785">
        <v>0.16667142857142903</v>
      </c>
      <c r="BF127" s="785">
        <v>8.3328571428571405E-2</v>
      </c>
      <c r="BG127" s="785"/>
      <c r="BH127" s="785"/>
      <c r="BI127" s="785"/>
      <c r="BJ127" s="57"/>
      <c r="BK127" s="57"/>
      <c r="BL127" s="57"/>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row>
    <row r="128" spans="10:97">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785" t="s">
        <v>387</v>
      </c>
      <c r="AW128" s="785">
        <f ca="1">IF(AND($AW$121&lt;&gt;"&gt;6",$AW$121&lt;&gt;"&gt;5"),$AW$125,$AY$125)</f>
        <v>1.879</v>
      </c>
      <c r="AX128" s="785" t="s">
        <v>387</v>
      </c>
      <c r="AY128" s="785">
        <f ca="1">IF(AND($AW$121&lt;&gt;"&gt;6",$AW$121&lt;&gt;"&gt;5"),$AX$125,$AZ$125)</f>
        <v>1.8440000000000001</v>
      </c>
      <c r="AZ128" s="785"/>
      <c r="BA128" s="785"/>
      <c r="BB128" s="785">
        <v>0.1</v>
      </c>
      <c r="BC128" s="785"/>
      <c r="BD128" s="785" t="s">
        <v>378</v>
      </c>
      <c r="BE128" s="785">
        <v>0.1</v>
      </c>
      <c r="BF128" s="785">
        <v>0.1</v>
      </c>
      <c r="BG128" s="785"/>
      <c r="BH128" s="785"/>
      <c r="BI128" s="785"/>
      <c r="BJ128" s="57"/>
      <c r="BK128" s="57"/>
      <c r="BL128" s="57"/>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row>
    <row r="129" spans="10:97">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785" t="s">
        <v>389</v>
      </c>
      <c r="AW129" s="785">
        <f ca="1">IF(AND($AW$123&lt;&gt;"&gt;6",$AW$123&lt;&gt;"&gt;5"),$AW$125,$AY$125)</f>
        <v>1.879</v>
      </c>
      <c r="AX129" s="785" t="s">
        <v>389</v>
      </c>
      <c r="AY129" s="785">
        <f ca="1">IF(AND($AW$123&lt;&gt;"&gt;6",$AW$123&lt;&gt;"&gt;5"),$AX$125,$AZ$125)</f>
        <v>1.8440000000000001</v>
      </c>
      <c r="AZ129" s="785"/>
      <c r="BA129" s="785"/>
      <c r="BB129" s="785">
        <v>0.111116666666667</v>
      </c>
      <c r="BC129" s="785"/>
      <c r="BD129" s="785" t="s">
        <v>379</v>
      </c>
      <c r="BE129" s="785">
        <v>0.111116666666667</v>
      </c>
      <c r="BF129" s="785">
        <v>0.1111</v>
      </c>
      <c r="BG129" s="785"/>
      <c r="BH129" s="785"/>
      <c r="BI129" s="785"/>
      <c r="BJ129" s="57"/>
      <c r="BK129" s="57"/>
      <c r="BL129" s="57"/>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row>
    <row r="130" spans="10:97">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785"/>
      <c r="AW130" s="785"/>
      <c r="AX130" s="785"/>
      <c r="AY130" s="785"/>
      <c r="AZ130" s="785"/>
      <c r="BA130" s="785"/>
      <c r="BB130" s="785">
        <v>0.125</v>
      </c>
      <c r="BC130" s="785"/>
      <c r="BD130" s="785" t="s">
        <v>380</v>
      </c>
      <c r="BE130" s="785">
        <v>0.125</v>
      </c>
      <c r="BF130" s="785">
        <v>0.125</v>
      </c>
      <c r="BG130" s="785"/>
      <c r="BH130" s="785"/>
      <c r="BI130" s="785"/>
      <c r="BJ130" s="57"/>
      <c r="BK130" s="57"/>
      <c r="BL130" s="57"/>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row>
    <row r="131" spans="10:97">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785" t="s">
        <v>381</v>
      </c>
      <c r="AW131" s="785">
        <f ca="1">IF($B$4="Zone A",$AW$127,IF($B$4="Zone B",$AY$127,0))</f>
        <v>1.8440000000000001</v>
      </c>
      <c r="AX131" s="785"/>
      <c r="AY131" s="785"/>
      <c r="AZ131" s="785"/>
      <c r="BA131" s="785"/>
      <c r="BB131" s="785"/>
      <c r="BC131" s="785"/>
      <c r="BD131" s="785"/>
      <c r="BE131" s="785"/>
      <c r="BF131" s="785"/>
      <c r="BG131" s="785"/>
      <c r="BH131" s="785"/>
      <c r="BI131" s="785"/>
      <c r="BJ131" s="57"/>
      <c r="BK131" s="57"/>
      <c r="BL131" s="57"/>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row>
    <row r="132" spans="10:97">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785" t="s">
        <v>388</v>
      </c>
      <c r="AW132" s="785">
        <f ca="1">IF($B$4="Zone A",$AW$128,IF($B$4="Zone B",$AY$128,0))</f>
        <v>1.8440000000000001</v>
      </c>
      <c r="AX132" s="785"/>
      <c r="AY132" s="785"/>
      <c r="AZ132" s="785"/>
      <c r="BA132" s="785"/>
      <c r="BB132" s="785"/>
      <c r="BC132" s="785"/>
      <c r="BD132" s="785"/>
      <c r="BE132" s="785"/>
      <c r="BF132" s="785"/>
      <c r="BG132" s="785"/>
      <c r="BH132" s="785"/>
      <c r="BI132" s="785"/>
      <c r="BJ132" s="57"/>
      <c r="BK132" s="57"/>
      <c r="BL132" s="57"/>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row>
    <row r="133" spans="10:97" ht="17.25">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785" t="s">
        <v>396</v>
      </c>
      <c r="AW133" s="785">
        <f ca="1">IF($B$4="Zone A",$AW$129,IF($B$4="Zone B",$AY$129,0))</f>
        <v>1.8440000000000001</v>
      </c>
      <c r="AX133" s="785"/>
      <c r="AY133" s="785"/>
      <c r="AZ133" s="785"/>
      <c r="BA133" s="785"/>
      <c r="BB133" s="785"/>
      <c r="BC133" s="785"/>
      <c r="BD133" s="785"/>
      <c r="BE133" s="785"/>
      <c r="BF133" s="785"/>
      <c r="BG133" s="785"/>
      <c r="BH133" s="785"/>
      <c r="BI133" s="785"/>
      <c r="BJ133" s="57"/>
      <c r="BK133" s="57"/>
      <c r="BL133" s="57"/>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row>
    <row r="134" spans="10:97">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785"/>
      <c r="AW134" s="785"/>
      <c r="AX134" s="785"/>
      <c r="AY134" s="785"/>
      <c r="AZ134" s="785"/>
      <c r="BA134" s="785"/>
      <c r="BB134" s="785"/>
      <c r="BC134" s="785"/>
      <c r="BD134" s="785"/>
      <c r="BE134" s="785"/>
      <c r="BF134" s="785"/>
      <c r="BG134" s="785"/>
      <c r="BH134" s="785"/>
      <c r="BI134" s="785"/>
      <c r="BJ134" s="57"/>
      <c r="BK134" s="57"/>
      <c r="BL134" s="57"/>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row>
    <row r="135" spans="10:97" ht="17.25">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785" t="s">
        <v>392</v>
      </c>
      <c r="AW135" s="790">
        <f ca="1">IF(D4="&gt;0",0.12,IF(D4="&gt;1",0.22,IF(D4="&gt;2",0.3,IF(D4="&gt;3",0.4,IF(D4="&gt;4",0.6,0)))))</f>
        <v>0.22</v>
      </c>
      <c r="AX135" s="785"/>
      <c r="AY135" s="785"/>
      <c r="AZ135" s="785"/>
      <c r="BA135" s="785"/>
      <c r="BB135" s="785"/>
      <c r="BC135" s="785"/>
      <c r="BD135" s="785"/>
      <c r="BE135" s="785"/>
      <c r="BF135" s="785"/>
      <c r="BG135" s="785"/>
      <c r="BH135" s="785"/>
      <c r="BI135" s="785"/>
      <c r="BJ135" s="57"/>
      <c r="BK135" s="57"/>
      <c r="BL135" s="57"/>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row>
    <row r="136" spans="10:97" ht="17.25">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785" t="s">
        <v>393</v>
      </c>
      <c r="AW136" s="785">
        <f ca="1">IF(AW121="&gt;0",0.12,IF(AW121="&gt;1",0.22,IF(AW121="&gt;2",0.3,IF(AW121="&gt;3",0.4,IF(AW121="&gt;4",0.6,0)))))</f>
        <v>0.3</v>
      </c>
      <c r="AX136" s="785"/>
      <c r="AY136" s="785"/>
      <c r="AZ136" s="785"/>
      <c r="BA136" s="785"/>
      <c r="BB136" s="785"/>
      <c r="BC136" s="785"/>
      <c r="BD136" s="785"/>
      <c r="BE136" s="785"/>
      <c r="BF136" s="785"/>
      <c r="BG136" s="785"/>
      <c r="BH136" s="785"/>
      <c r="BI136" s="785"/>
      <c r="BJ136" s="57"/>
      <c r="BK136" s="57"/>
      <c r="BL136" s="57"/>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row>
    <row r="137" spans="10:97" ht="17.25">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785" t="s">
        <v>397</v>
      </c>
      <c r="AW137" s="785">
        <f ca="1">IF(AW123="&gt;0",0.12,IF(AW123="&gt;1",0.22,IF(AW123="&gt;2",0.3,IF(AW123="&gt;3",0.4,IF(AW123="&gt;4",0.6,0)))))</f>
        <v>0.4</v>
      </c>
      <c r="AX137" s="785"/>
      <c r="AY137" s="785"/>
      <c r="AZ137" s="785"/>
      <c r="BA137" s="785"/>
      <c r="BB137" s="785"/>
      <c r="BC137" s="785"/>
      <c r="BD137" s="785"/>
      <c r="BE137" s="785"/>
      <c r="BF137" s="785"/>
      <c r="BG137" s="785"/>
      <c r="BH137" s="785"/>
      <c r="BI137" s="785"/>
      <c r="BJ137" s="57"/>
      <c r="BK137" s="57"/>
      <c r="BL137" s="57"/>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row>
    <row r="138" spans="10:97">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785"/>
      <c r="AW138" s="785"/>
      <c r="AX138" s="785"/>
      <c r="AY138" s="785"/>
      <c r="AZ138" s="785"/>
      <c r="BA138" s="785"/>
      <c r="BB138" s="785"/>
      <c r="BC138" s="785"/>
      <c r="BD138" s="785"/>
      <c r="BE138" s="785"/>
      <c r="BF138" s="785"/>
      <c r="BG138" s="785"/>
      <c r="BH138" s="785"/>
      <c r="BI138" s="785"/>
      <c r="BJ138" s="57"/>
      <c r="BK138" s="57"/>
      <c r="BL138" s="57"/>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row>
    <row r="139" spans="10:97">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785"/>
      <c r="AW139" s="785"/>
      <c r="AX139" s="785"/>
      <c r="AY139" s="785"/>
      <c r="AZ139" s="785"/>
      <c r="BA139" s="785"/>
      <c r="BB139" s="785"/>
      <c r="BC139" s="785"/>
      <c r="BD139" s="785"/>
      <c r="BE139" s="785"/>
      <c r="BF139" s="785"/>
      <c r="BG139" s="785"/>
      <c r="BH139" s="785"/>
      <c r="BI139" s="785"/>
      <c r="BJ139" s="57"/>
      <c r="BK139" s="57"/>
      <c r="BL139" s="57"/>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row>
    <row r="140" spans="10:97">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785"/>
      <c r="AW140" s="785"/>
      <c r="AX140" s="785"/>
      <c r="AY140" s="785"/>
      <c r="AZ140" s="785"/>
      <c r="BA140" s="785"/>
      <c r="BB140" s="785"/>
      <c r="BC140" s="785"/>
      <c r="BD140" s="785"/>
      <c r="BE140" s="785"/>
      <c r="BF140" s="785"/>
      <c r="BG140" s="785"/>
      <c r="BH140" s="785"/>
      <c r="BI140" s="785"/>
      <c r="BJ140" s="57"/>
      <c r="BK140" s="57"/>
      <c r="BL140" s="57"/>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row>
    <row r="141" spans="10:97">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791"/>
      <c r="AW141" s="791"/>
      <c r="AX141" s="791"/>
      <c r="AY141" s="791"/>
      <c r="AZ141" s="791"/>
      <c r="BA141" s="791"/>
      <c r="BB141" s="791"/>
      <c r="BC141" s="791"/>
      <c r="BD141" s="791"/>
      <c r="BE141" s="791"/>
      <c r="BF141" s="791"/>
      <c r="BG141" s="791"/>
      <c r="BH141" s="791"/>
      <c r="BI141" s="791"/>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row>
    <row r="142" spans="10:97">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row>
    <row r="143" spans="10:97">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row>
    <row r="144" spans="10:97">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row>
    <row r="145" spans="10:97">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row>
    <row r="146" spans="10:97">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row>
    <row r="147" spans="10:97">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row>
    <row r="148" spans="10:97">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row>
    <row r="149" spans="10:97">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row>
    <row r="150" spans="10:97">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row>
    <row r="151" spans="10:97">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row>
    <row r="152" spans="10:97">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row>
    <row r="153" spans="10:97">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row>
    <row r="154" spans="10:97">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row>
    <row r="155" spans="10:97">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row>
    <row r="156" spans="10:97">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row>
    <row r="157" spans="10:97">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row>
    <row r="158" spans="10:97">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row>
    <row r="159" spans="10:97">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row>
    <row r="160" spans="10:97">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row>
    <row r="161" spans="10:97">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row>
    <row r="162" spans="10:97">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row>
    <row r="163" spans="10:97">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row>
    <row r="164" spans="10:97">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row>
    <row r="165" spans="10:97" ht="12.95" customHeight="1">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332"/>
      <c r="BS165" s="986" t="s">
        <v>49</v>
      </c>
      <c r="BT165" s="986"/>
      <c r="BU165" s="986"/>
      <c r="BV165" s="986" t="s">
        <v>37</v>
      </c>
      <c r="BW165" s="986"/>
      <c r="BX165" s="986"/>
      <c r="BY165" s="49"/>
      <c r="BZ165" s="49"/>
      <c r="CA165" s="49"/>
      <c r="CB165" s="49"/>
      <c r="CC165" s="49"/>
      <c r="CD165" s="49"/>
      <c r="CE165" s="49"/>
      <c r="CF165" s="49"/>
      <c r="CG165" s="49"/>
      <c r="CH165" s="49"/>
      <c r="CI165" s="49"/>
      <c r="CJ165" s="49"/>
      <c r="CK165" s="49"/>
      <c r="CL165" s="49"/>
      <c r="CM165" s="49"/>
      <c r="CN165" s="49"/>
      <c r="CO165" s="49"/>
      <c r="CP165" s="49"/>
      <c r="CQ165" s="49"/>
      <c r="CR165" s="49"/>
      <c r="CS165" s="49"/>
    </row>
    <row r="166" spans="10:97">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332" t="s">
        <v>54</v>
      </c>
      <c r="BS166" s="986"/>
      <c r="BT166" s="986"/>
      <c r="BU166" s="986"/>
      <c r="BV166" s="986"/>
      <c r="BW166" s="986"/>
      <c r="BX166" s="986"/>
      <c r="BY166" s="49"/>
      <c r="BZ166" s="49"/>
      <c r="CA166" s="49"/>
      <c r="CB166" s="49"/>
      <c r="CC166" s="49"/>
      <c r="CD166" s="49"/>
      <c r="CE166" s="49"/>
      <c r="CF166" s="49"/>
      <c r="CG166" s="49"/>
      <c r="CH166" s="49"/>
      <c r="CI166" s="49"/>
      <c r="CJ166" s="49"/>
      <c r="CK166" s="49"/>
      <c r="CL166" s="49"/>
      <c r="CM166" s="49"/>
      <c r="CN166" s="49"/>
      <c r="CO166" s="49"/>
      <c r="CP166" s="49"/>
      <c r="CQ166" s="49"/>
      <c r="CR166" s="49"/>
      <c r="CS166" s="49"/>
    </row>
    <row r="167" spans="10:97">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332" t="s">
        <v>55</v>
      </c>
      <c r="BS167" s="986"/>
      <c r="BT167" s="986"/>
      <c r="BU167" s="986"/>
      <c r="BV167" s="986"/>
      <c r="BW167" s="986"/>
      <c r="BX167" s="986"/>
      <c r="BY167" s="49"/>
      <c r="BZ167" s="49"/>
      <c r="CA167" s="49"/>
      <c r="CB167" s="49"/>
      <c r="CC167" s="49"/>
      <c r="CD167" s="49"/>
      <c r="CE167" s="49"/>
      <c r="CF167" s="49"/>
      <c r="CG167" s="49"/>
      <c r="CH167" s="49"/>
      <c r="CI167" s="49"/>
      <c r="CJ167" s="49"/>
      <c r="CK167" s="49"/>
      <c r="CL167" s="49"/>
      <c r="CM167" s="49"/>
      <c r="CN167" s="49"/>
      <c r="CO167" s="49"/>
      <c r="CP167" s="49"/>
      <c r="CQ167" s="49"/>
      <c r="CR167" s="49"/>
      <c r="CS167" s="49"/>
    </row>
    <row r="168" spans="10:97" ht="15" customHeight="1">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332" t="s">
        <v>56</v>
      </c>
      <c r="BS168" s="980" t="s">
        <v>57</v>
      </c>
      <c r="BT168" s="980"/>
      <c r="BU168" s="980"/>
      <c r="BV168" s="980"/>
      <c r="BW168" s="980"/>
      <c r="BX168" s="980"/>
      <c r="BY168" s="49"/>
      <c r="BZ168" s="49"/>
      <c r="CA168" s="49"/>
      <c r="CB168" s="49"/>
      <c r="CC168" s="49"/>
      <c r="CD168" s="49"/>
      <c r="CE168" s="49"/>
      <c r="CF168" s="49"/>
      <c r="CG168" s="49"/>
      <c r="CH168" s="49"/>
      <c r="CI168" s="49"/>
      <c r="CJ168" s="49"/>
      <c r="CK168" s="49"/>
      <c r="CL168" s="49"/>
      <c r="CM168" s="49"/>
      <c r="CN168" s="49"/>
      <c r="CO168" s="49"/>
      <c r="CP168" s="49"/>
      <c r="CQ168" s="49"/>
      <c r="CR168" s="49"/>
      <c r="CS168" s="49"/>
    </row>
    <row r="169" spans="10:97" ht="15" customHeight="1">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332" t="s">
        <v>58</v>
      </c>
      <c r="BS169" s="980" t="s">
        <v>59</v>
      </c>
      <c r="BT169" s="980"/>
      <c r="BU169" s="980"/>
      <c r="BV169" s="980" t="s">
        <v>59</v>
      </c>
      <c r="BW169" s="980"/>
      <c r="BX169" s="980"/>
      <c r="BY169" s="49"/>
      <c r="BZ169" s="49"/>
      <c r="CA169" s="49"/>
      <c r="CB169" s="49"/>
      <c r="CC169" s="49"/>
      <c r="CD169" s="49"/>
      <c r="CE169" s="49"/>
      <c r="CF169" s="49"/>
      <c r="CG169" s="49"/>
      <c r="CH169" s="49"/>
      <c r="CI169" s="49"/>
      <c r="CJ169" s="49"/>
      <c r="CK169" s="49"/>
      <c r="CL169" s="49"/>
      <c r="CM169" s="49"/>
      <c r="CN169" s="49"/>
      <c r="CO169" s="49"/>
      <c r="CP169" s="49"/>
      <c r="CQ169" s="49"/>
      <c r="CR169" s="49"/>
      <c r="CS169" s="49"/>
    </row>
    <row r="170" spans="10:97" ht="15.75" customHeight="1">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333"/>
      <c r="BS170" s="981"/>
      <c r="BT170" s="981"/>
      <c r="BU170" s="981"/>
      <c r="BV170" s="982"/>
      <c r="BW170" s="982"/>
      <c r="BX170" s="982"/>
      <c r="BY170" s="49"/>
      <c r="BZ170" s="49"/>
      <c r="CA170" s="49"/>
      <c r="CB170" s="49"/>
      <c r="CC170" s="49"/>
      <c r="CD170" s="49"/>
      <c r="CE170" s="49"/>
      <c r="CF170" s="49"/>
      <c r="CG170" s="49"/>
      <c r="CH170" s="49"/>
      <c r="CI170" s="49"/>
      <c r="CJ170" s="49"/>
      <c r="CK170" s="49"/>
      <c r="CL170" s="49"/>
      <c r="CM170" s="49"/>
      <c r="CN170" s="49"/>
      <c r="CO170" s="49"/>
      <c r="CP170" s="49"/>
      <c r="CQ170" s="49"/>
      <c r="CR170" s="49"/>
      <c r="CS170" s="49"/>
    </row>
    <row r="171" spans="10:97" ht="12.95" customHeight="1">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333"/>
      <c r="BS171" s="334" t="s">
        <v>60</v>
      </c>
      <c r="BT171" s="983" t="s">
        <v>61</v>
      </c>
      <c r="BU171" s="983" t="s">
        <v>62</v>
      </c>
      <c r="BV171" s="334" t="s">
        <v>60</v>
      </c>
      <c r="BW171" s="983" t="s">
        <v>61</v>
      </c>
      <c r="BX171" s="983" t="s">
        <v>62</v>
      </c>
      <c r="BY171" s="49"/>
      <c r="BZ171" s="49"/>
      <c r="CA171" s="49"/>
      <c r="CB171" s="49"/>
      <c r="CC171" s="49"/>
      <c r="CD171" s="49"/>
      <c r="CE171" s="49"/>
      <c r="CF171" s="49"/>
      <c r="CG171" s="49"/>
      <c r="CH171" s="49"/>
      <c r="CI171" s="49"/>
      <c r="CJ171" s="49"/>
      <c r="CK171" s="49"/>
      <c r="CL171" s="49"/>
      <c r="CM171" s="49"/>
      <c r="CN171" s="49"/>
      <c r="CO171" s="49"/>
      <c r="CP171" s="49"/>
      <c r="CQ171" s="49"/>
      <c r="CR171" s="49"/>
      <c r="CS171" s="49"/>
    </row>
    <row r="172" spans="10:97">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333"/>
      <c r="BS172" s="334" t="s">
        <v>63</v>
      </c>
      <c r="BT172" s="983"/>
      <c r="BU172" s="983"/>
      <c r="BV172" s="334" t="s">
        <v>63</v>
      </c>
      <c r="BW172" s="983"/>
      <c r="BX172" s="983"/>
      <c r="BY172" s="49"/>
      <c r="BZ172" s="49"/>
      <c r="CA172" s="49"/>
      <c r="CB172" s="49"/>
      <c r="CC172" s="49"/>
      <c r="CD172" s="49"/>
      <c r="CE172" s="49"/>
      <c r="CF172" s="49"/>
      <c r="CG172" s="49"/>
      <c r="CH172" s="49"/>
      <c r="CI172" s="49"/>
      <c r="CJ172" s="49"/>
      <c r="CK172" s="49"/>
      <c r="CL172" s="49"/>
      <c r="CM172" s="49"/>
      <c r="CN172" s="49"/>
      <c r="CO172" s="49"/>
      <c r="CP172" s="49"/>
      <c r="CQ172" s="49"/>
      <c r="CR172" s="49"/>
      <c r="CS172" s="49"/>
    </row>
    <row r="173" spans="10:97" ht="22.5">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335" t="s">
        <v>64</v>
      </c>
      <c r="BS173" s="332" t="s">
        <v>65</v>
      </c>
      <c r="BT173" s="332" t="s">
        <v>66</v>
      </c>
      <c r="BU173" s="332" t="s">
        <v>67</v>
      </c>
      <c r="BV173" s="332" t="s">
        <v>68</v>
      </c>
      <c r="BW173" s="332" t="s">
        <v>69</v>
      </c>
      <c r="BX173" s="332" t="s">
        <v>70</v>
      </c>
      <c r="BY173" s="49"/>
      <c r="BZ173" s="49"/>
      <c r="CA173" s="49"/>
      <c r="CB173" s="49"/>
      <c r="CC173" s="49"/>
      <c r="CD173" s="49"/>
      <c r="CE173" s="49"/>
      <c r="CF173" s="49"/>
      <c r="CG173" s="49"/>
      <c r="CH173" s="49"/>
      <c r="CI173" s="49"/>
      <c r="CJ173" s="49"/>
      <c r="CK173" s="49"/>
      <c r="CL173" s="49"/>
      <c r="CM173" s="49"/>
      <c r="CN173" s="49"/>
      <c r="CO173" s="49"/>
      <c r="CP173" s="49"/>
      <c r="CQ173" s="49"/>
      <c r="CR173" s="49"/>
      <c r="CS173" s="49"/>
    </row>
    <row r="174" spans="10:97">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336" t="s">
        <v>71</v>
      </c>
      <c r="BS174" s="332"/>
      <c r="BT174" s="332"/>
      <c r="BU174" s="332"/>
      <c r="BV174" s="332"/>
      <c r="BW174" s="332"/>
      <c r="BX174" s="332"/>
      <c r="BY174" s="49"/>
      <c r="BZ174" s="49"/>
      <c r="CA174" s="49"/>
      <c r="CB174" s="49"/>
      <c r="CC174" s="49"/>
      <c r="CD174" s="49"/>
      <c r="CE174" s="49"/>
      <c r="CF174" s="49"/>
      <c r="CG174" s="49"/>
      <c r="CH174" s="49"/>
      <c r="CI174" s="49"/>
      <c r="CJ174" s="49"/>
      <c r="CK174" s="49"/>
      <c r="CL174" s="49"/>
      <c r="CM174" s="49"/>
      <c r="CN174" s="49"/>
      <c r="CO174" s="49"/>
      <c r="CP174" s="49"/>
      <c r="CQ174" s="49"/>
      <c r="CR174" s="49"/>
      <c r="CS174" s="49"/>
    </row>
    <row r="175" spans="10:97" ht="45">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335" t="s">
        <v>72</v>
      </c>
      <c r="BS175" s="332" t="s">
        <v>66</v>
      </c>
      <c r="BT175" s="332" t="s">
        <v>73</v>
      </c>
      <c r="BU175" s="332" t="s">
        <v>74</v>
      </c>
      <c r="BV175" s="332" t="s">
        <v>69</v>
      </c>
      <c r="BW175" s="332" t="s">
        <v>75</v>
      </c>
      <c r="BX175" s="332" t="s">
        <v>76</v>
      </c>
      <c r="BY175" s="49"/>
      <c r="BZ175" s="49"/>
      <c r="CA175" s="49"/>
      <c r="CB175" s="49"/>
      <c r="CC175" s="49"/>
      <c r="CD175" s="49"/>
      <c r="CE175" s="49"/>
      <c r="CF175" s="49"/>
      <c r="CG175" s="49"/>
      <c r="CH175" s="49"/>
      <c r="CI175" s="49"/>
      <c r="CJ175" s="49"/>
      <c r="CK175" s="49"/>
      <c r="CL175" s="49"/>
      <c r="CM175" s="49"/>
      <c r="CN175" s="49"/>
      <c r="CO175" s="49"/>
      <c r="CP175" s="49"/>
      <c r="CQ175" s="49"/>
      <c r="CR175" s="49"/>
      <c r="CS175" s="49"/>
    </row>
    <row r="176" spans="10:97" ht="22.5">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335" t="s">
        <v>77</v>
      </c>
      <c r="BS176" s="332" t="s">
        <v>78</v>
      </c>
      <c r="BT176" s="332" t="s">
        <v>79</v>
      </c>
      <c r="BU176" s="332" t="s">
        <v>80</v>
      </c>
      <c r="BV176" s="332" t="s">
        <v>81</v>
      </c>
      <c r="BW176" s="332" t="s">
        <v>82</v>
      </c>
      <c r="BX176" s="332" t="s">
        <v>83</v>
      </c>
      <c r="BY176" s="49"/>
      <c r="BZ176" s="49"/>
      <c r="CA176" s="49"/>
      <c r="CB176" s="49"/>
      <c r="CC176" s="49"/>
      <c r="CD176" s="49"/>
      <c r="CE176" s="49"/>
      <c r="CF176" s="49"/>
      <c r="CG176" s="49"/>
      <c r="CH176" s="49"/>
      <c r="CI176" s="49"/>
      <c r="CJ176" s="49"/>
      <c r="CK176" s="49"/>
      <c r="CL176" s="49"/>
      <c r="CM176" s="49"/>
      <c r="CN176" s="49"/>
      <c r="CO176" s="49"/>
      <c r="CP176" s="49"/>
      <c r="CQ176" s="49"/>
      <c r="CR176" s="49"/>
      <c r="CS176" s="49"/>
    </row>
    <row r="177" spans="10:97">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row>
    <row r="178" spans="10:97">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row>
    <row r="179" spans="10:97">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row>
    <row r="180" spans="10:97">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row>
    <row r="181" spans="10:97">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row>
    <row r="182" spans="10:97">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row>
    <row r="183" spans="10:97">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row>
    <row r="184" spans="10:97">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row>
    <row r="185" spans="10:97">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row>
    <row r="186" spans="10:97">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row>
    <row r="187" spans="10:97">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row>
    <row r="188" spans="10:97">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row>
    <row r="189" spans="10:97">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row>
    <row r="190" spans="10:97">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row>
    <row r="191" spans="10:97">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row>
    <row r="192" spans="10:97">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row>
    <row r="193" spans="10:97">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row>
    <row r="194" spans="10:97">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row>
    <row r="195" spans="10:97">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49"/>
      <c r="CN195" s="49"/>
      <c r="CO195" s="49"/>
      <c r="CP195" s="49"/>
      <c r="CQ195" s="49"/>
      <c r="CR195" s="49"/>
      <c r="CS195" s="49"/>
    </row>
    <row r="196" spans="10:97">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row>
    <row r="197" spans="10:97">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row>
    <row r="198" spans="10:97">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row>
    <row r="199" spans="10:97">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c r="CR199" s="49"/>
      <c r="CS199" s="49"/>
    </row>
    <row r="200" spans="10:97">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49"/>
      <c r="CK200" s="49"/>
      <c r="CL200" s="49"/>
      <c r="CM200" s="49"/>
      <c r="CN200" s="49"/>
      <c r="CO200" s="49"/>
      <c r="CP200" s="49"/>
      <c r="CQ200" s="49"/>
      <c r="CR200" s="49"/>
      <c r="CS200" s="49"/>
    </row>
    <row r="201" spans="10:97">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row>
    <row r="202" spans="10:97">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row>
    <row r="203" spans="10:97">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49"/>
      <c r="CN203" s="49"/>
      <c r="CO203" s="49"/>
      <c r="CP203" s="49"/>
      <c r="CQ203" s="49"/>
      <c r="CR203" s="49"/>
      <c r="CS203" s="49"/>
    </row>
    <row r="204" spans="10:97">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c r="CR204" s="49"/>
      <c r="CS204" s="49"/>
    </row>
    <row r="205" spans="10:97">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row>
    <row r="206" spans="10:97">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row>
    <row r="207" spans="10:97">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row>
    <row r="208" spans="10:97">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49"/>
      <c r="CN208" s="49"/>
      <c r="CO208" s="49"/>
      <c r="CP208" s="49"/>
      <c r="CQ208" s="49"/>
      <c r="CR208" s="49"/>
      <c r="CS208" s="49"/>
    </row>
    <row r="209" spans="10:97">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49"/>
      <c r="CN209" s="49"/>
      <c r="CO209" s="49"/>
      <c r="CP209" s="49"/>
      <c r="CQ209" s="49"/>
      <c r="CR209" s="49"/>
      <c r="CS209" s="49"/>
    </row>
    <row r="210" spans="10:97">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49"/>
      <c r="CN210" s="49"/>
      <c r="CO210" s="49"/>
      <c r="CP210" s="49"/>
      <c r="CQ210" s="49"/>
      <c r="CR210" s="49"/>
      <c r="CS210" s="49"/>
    </row>
    <row r="211" spans="10:97">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49"/>
      <c r="CK211" s="49"/>
      <c r="CL211" s="49"/>
      <c r="CM211" s="49"/>
      <c r="CN211" s="49"/>
      <c r="CO211" s="49"/>
      <c r="CP211" s="49"/>
      <c r="CQ211" s="49"/>
      <c r="CR211" s="49"/>
      <c r="CS211" s="49"/>
    </row>
    <row r="212" spans="10:97">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49"/>
      <c r="CK212" s="49"/>
      <c r="CL212" s="49"/>
      <c r="CM212" s="49"/>
      <c r="CN212" s="49"/>
      <c r="CO212" s="49"/>
      <c r="CP212" s="49"/>
      <c r="CQ212" s="49"/>
      <c r="CR212" s="49"/>
      <c r="CS212" s="49"/>
    </row>
    <row r="213" spans="10:97">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49"/>
      <c r="CN213" s="49"/>
      <c r="CO213" s="49"/>
      <c r="CP213" s="49"/>
      <c r="CQ213" s="49"/>
      <c r="CR213" s="49"/>
      <c r="CS213" s="49"/>
    </row>
    <row r="214" spans="10:97">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row>
    <row r="215" spans="10:97">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row>
    <row r="216" spans="10:97">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c r="CR216" s="49"/>
      <c r="CS216" s="49"/>
    </row>
    <row r="217" spans="10:97">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c r="CR217" s="49"/>
      <c r="CS217" s="49"/>
    </row>
    <row r="218" spans="10:97">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row>
    <row r="219" spans="10:97">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row>
    <row r="220" spans="10:97">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row>
    <row r="221" spans="10:97">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c r="CR221" s="49"/>
      <c r="CS221" s="49"/>
    </row>
    <row r="222" spans="10:97">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c r="CR222" s="49"/>
      <c r="CS222" s="49"/>
    </row>
    <row r="223" spans="10:97">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row>
    <row r="224" spans="10:97">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row>
    <row r="225" spans="10:97">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c r="CR225" s="49"/>
      <c r="CS225" s="49"/>
    </row>
    <row r="226" spans="10:97">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49"/>
      <c r="CN226" s="49"/>
      <c r="CO226" s="49"/>
      <c r="CP226" s="49"/>
      <c r="CQ226" s="49"/>
      <c r="CR226" s="49"/>
      <c r="CS226" s="49"/>
    </row>
    <row r="227" spans="10:97">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row>
    <row r="228" spans="10:97">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row>
    <row r="229" spans="10:97">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49"/>
      <c r="CN229" s="49"/>
      <c r="CO229" s="49"/>
      <c r="CP229" s="49"/>
      <c r="CQ229" s="49"/>
      <c r="CR229" s="49"/>
      <c r="CS229" s="49"/>
    </row>
    <row r="230" spans="10:97">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row>
    <row r="231" spans="10:97">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49"/>
      <c r="CN231" s="49"/>
      <c r="CO231" s="49"/>
      <c r="CP231" s="49"/>
      <c r="CQ231" s="49"/>
      <c r="CR231" s="49"/>
      <c r="CS231" s="49"/>
    </row>
    <row r="232" spans="10:97">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49"/>
      <c r="CK232" s="49"/>
      <c r="CL232" s="49"/>
      <c r="CM232" s="49"/>
      <c r="CN232" s="49"/>
      <c r="CO232" s="49"/>
      <c r="CP232" s="49"/>
      <c r="CQ232" s="49"/>
      <c r="CR232" s="49"/>
      <c r="CS232" s="49"/>
    </row>
    <row r="233" spans="10:97">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c r="CR233" s="49"/>
      <c r="CS233" s="49"/>
    </row>
    <row r="234" spans="10:97">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row>
    <row r="235" spans="10:97">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row>
    <row r="236" spans="10:97">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c r="CR236" s="49"/>
      <c r="CS236" s="49"/>
    </row>
    <row r="237" spans="10:97">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c r="CR237" s="49"/>
      <c r="CS237" s="49"/>
    </row>
    <row r="238" spans="10:97">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c r="CR238" s="49"/>
      <c r="CS238" s="49"/>
    </row>
    <row r="239" spans="10:97">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row>
    <row r="240" spans="10:97">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row>
    <row r="241" spans="10:97">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49"/>
      <c r="CN241" s="49"/>
      <c r="CO241" s="49"/>
      <c r="CP241" s="49"/>
      <c r="CQ241" s="49"/>
      <c r="CR241" s="49"/>
      <c r="CS241" s="49"/>
    </row>
    <row r="242" spans="10:97">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row>
    <row r="243" spans="10:97">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row>
    <row r="244" spans="10:97">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row>
    <row r="245" spans="10:97">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c r="CR245" s="49"/>
      <c r="CS245" s="49"/>
    </row>
    <row r="246" spans="10:97">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c r="CR246" s="49"/>
      <c r="CS246" s="49"/>
    </row>
    <row r="247" spans="10:97">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c r="CR247" s="49"/>
      <c r="CS247" s="49"/>
    </row>
    <row r="248" spans="10:97">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49"/>
      <c r="CN248" s="49"/>
      <c r="CO248" s="49"/>
      <c r="CP248" s="49"/>
      <c r="CQ248" s="49"/>
      <c r="CR248" s="49"/>
      <c r="CS248" s="49"/>
    </row>
    <row r="249" spans="10:97">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c r="CR249" s="49"/>
      <c r="CS249" s="49"/>
    </row>
    <row r="250" spans="10:97">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c r="CL250" s="49"/>
      <c r="CM250" s="49"/>
      <c r="CN250" s="49"/>
      <c r="CO250" s="49"/>
      <c r="CP250" s="49"/>
      <c r="CQ250" s="49"/>
      <c r="CR250" s="49"/>
      <c r="CS250" s="49"/>
    </row>
    <row r="251" spans="10:97">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49"/>
      <c r="CN251" s="49"/>
      <c r="CO251" s="49"/>
      <c r="CP251" s="49"/>
      <c r="CQ251" s="49"/>
      <c r="CR251" s="49"/>
      <c r="CS251" s="49"/>
    </row>
    <row r="252" spans="10:97">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49"/>
      <c r="CN252" s="49"/>
      <c r="CO252" s="49"/>
      <c r="CP252" s="49"/>
      <c r="CQ252" s="49"/>
      <c r="CR252" s="49"/>
      <c r="CS252" s="49"/>
    </row>
    <row r="253" spans="10:97">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c r="CP253" s="49"/>
      <c r="CQ253" s="49"/>
      <c r="CR253" s="49"/>
      <c r="CS253" s="49"/>
    </row>
    <row r="254" spans="10:97">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49"/>
      <c r="CN254" s="49"/>
      <c r="CO254" s="49"/>
      <c r="CP254" s="49"/>
      <c r="CQ254" s="49"/>
      <c r="CR254" s="49"/>
      <c r="CS254" s="49"/>
    </row>
    <row r="255" spans="10:97">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c r="CR255" s="49"/>
      <c r="CS255" s="49"/>
    </row>
    <row r="256" spans="10:97">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row>
    <row r="257" spans="10:97">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row>
    <row r="258" spans="10:97">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row>
    <row r="259" spans="10:97">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row>
    <row r="260" spans="10:97">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row>
    <row r="261" spans="10:97">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c r="CR261" s="49"/>
      <c r="CS261" s="49"/>
    </row>
    <row r="262" spans="10:97">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c r="CR262" s="49"/>
      <c r="CS262" s="49"/>
    </row>
    <row r="263" spans="10:97">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c r="CR263" s="49"/>
      <c r="CS263" s="49"/>
    </row>
    <row r="264" spans="10:97">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c r="CR264" s="49"/>
      <c r="CS264" s="49"/>
    </row>
    <row r="265" spans="10:97">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49"/>
      <c r="CN265" s="49"/>
      <c r="CO265" s="49"/>
      <c r="CP265" s="49"/>
      <c r="CQ265" s="49"/>
      <c r="CR265" s="49"/>
      <c r="CS265" s="49"/>
    </row>
    <row r="266" spans="10:97">
      <c r="J266" s="337"/>
      <c r="K266" s="337"/>
      <c r="L266" s="337"/>
      <c r="M266" s="337"/>
      <c r="N266" s="337"/>
      <c r="O266" s="337"/>
      <c r="P266" s="337"/>
      <c r="Q266" s="337"/>
      <c r="R266" s="337"/>
      <c r="S266" s="337"/>
      <c r="T266" s="337"/>
      <c r="U266" s="337"/>
      <c r="V266" s="337"/>
      <c r="W266" s="337"/>
      <c r="X266" s="337"/>
      <c r="Y266" s="337"/>
      <c r="Z266" s="337"/>
      <c r="AA266" s="337"/>
      <c r="AB266" s="337"/>
      <c r="AC266" s="337"/>
      <c r="AD266" s="337"/>
      <c r="AE266" s="337"/>
      <c r="AF266" s="337"/>
      <c r="AG266" s="337"/>
      <c r="AH266" s="337"/>
      <c r="AI266" s="337"/>
      <c r="AJ266" s="337"/>
      <c r="AK266" s="337"/>
      <c r="AL266" s="337"/>
      <c r="AM266" s="337"/>
      <c r="AN266" s="337"/>
      <c r="AO266" s="337"/>
      <c r="AP266" s="337"/>
      <c r="AQ266" s="337"/>
      <c r="AR266" s="337"/>
      <c r="AS266" s="337"/>
      <c r="AT266" s="337"/>
      <c r="AU266" s="337"/>
      <c r="AV266" s="337"/>
      <c r="AW266" s="337"/>
      <c r="AX266" s="337"/>
      <c r="AY266" s="337"/>
      <c r="AZ266" s="337"/>
      <c r="BA266" s="337"/>
      <c r="BB266" s="337"/>
      <c r="BC266" s="337"/>
      <c r="BD266" s="337"/>
      <c r="BE266" s="337"/>
      <c r="BF266" s="337"/>
      <c r="BG266" s="337"/>
      <c r="BH266" s="337"/>
      <c r="BI266" s="337"/>
      <c r="BJ266" s="337"/>
      <c r="BK266" s="337"/>
      <c r="BL266" s="337"/>
      <c r="BM266" s="337"/>
      <c r="BN266" s="337"/>
    </row>
    <row r="267" spans="10:97">
      <c r="J267" s="337"/>
      <c r="K267" s="337"/>
      <c r="L267" s="337"/>
      <c r="M267" s="337"/>
      <c r="N267" s="337"/>
      <c r="O267" s="337"/>
      <c r="P267" s="337"/>
      <c r="Q267" s="337"/>
      <c r="R267" s="337"/>
      <c r="S267" s="337"/>
      <c r="T267" s="337"/>
      <c r="U267" s="337"/>
      <c r="V267" s="337"/>
      <c r="W267" s="337"/>
      <c r="X267" s="337"/>
      <c r="Y267" s="337"/>
      <c r="Z267" s="337"/>
      <c r="AA267" s="337"/>
      <c r="AB267" s="337"/>
      <c r="AC267" s="337"/>
      <c r="AD267" s="337"/>
      <c r="AE267" s="337"/>
      <c r="AF267" s="337"/>
      <c r="AG267" s="337"/>
      <c r="AH267" s="337"/>
      <c r="AI267" s="337"/>
      <c r="AJ267" s="337"/>
      <c r="AK267" s="337"/>
      <c r="AL267" s="337"/>
      <c r="AM267" s="337"/>
      <c r="AN267" s="337"/>
      <c r="AO267" s="337"/>
      <c r="AP267" s="337"/>
      <c r="AQ267" s="337"/>
      <c r="AR267" s="337"/>
      <c r="AS267" s="337"/>
      <c r="AT267" s="337"/>
      <c r="AU267" s="337"/>
      <c r="AV267" s="337"/>
      <c r="AW267" s="337"/>
      <c r="AX267" s="337"/>
      <c r="AY267" s="337"/>
      <c r="AZ267" s="337"/>
      <c r="BA267" s="337"/>
      <c r="BB267" s="337"/>
      <c r="BC267" s="337"/>
      <c r="BD267" s="337"/>
      <c r="BE267" s="337"/>
      <c r="BF267" s="337"/>
      <c r="BG267" s="337"/>
      <c r="BH267" s="337"/>
      <c r="BI267" s="337"/>
      <c r="BJ267" s="337"/>
      <c r="BK267" s="337"/>
      <c r="BL267" s="337"/>
      <c r="BM267" s="337"/>
      <c r="BN267" s="337"/>
    </row>
    <row r="268" spans="10:97">
      <c r="J268" s="337"/>
      <c r="K268" s="337"/>
      <c r="L268" s="337"/>
      <c r="M268" s="337"/>
      <c r="N268" s="337"/>
      <c r="O268" s="337"/>
      <c r="P268" s="337"/>
      <c r="Q268" s="337"/>
      <c r="R268" s="337"/>
      <c r="S268" s="337"/>
      <c r="T268" s="337"/>
      <c r="U268" s="337"/>
      <c r="V268" s="337"/>
      <c r="W268" s="337"/>
      <c r="X268" s="337"/>
      <c r="Y268" s="337"/>
      <c r="Z268" s="337"/>
      <c r="AA268" s="337"/>
      <c r="AB268" s="337"/>
      <c r="AC268" s="337"/>
      <c r="AD268" s="337"/>
      <c r="AE268" s="337"/>
      <c r="AF268" s="337"/>
      <c r="AG268" s="337"/>
      <c r="AH268" s="337"/>
      <c r="AI268" s="337"/>
      <c r="AJ268" s="337"/>
      <c r="AK268" s="337"/>
      <c r="AL268" s="337"/>
      <c r="AM268" s="337"/>
      <c r="AN268" s="337"/>
      <c r="AO268" s="337"/>
      <c r="AP268" s="337"/>
      <c r="AQ268" s="337"/>
      <c r="AR268" s="337"/>
      <c r="AS268" s="337"/>
      <c r="AT268" s="337"/>
      <c r="AU268" s="337"/>
      <c r="AV268" s="337"/>
      <c r="AW268" s="337"/>
      <c r="AX268" s="337"/>
      <c r="AY268" s="337"/>
      <c r="AZ268" s="337"/>
      <c r="BA268" s="337"/>
      <c r="BB268" s="337"/>
      <c r="BC268" s="337"/>
      <c r="BD268" s="337"/>
      <c r="BE268" s="337"/>
      <c r="BF268" s="337"/>
      <c r="BG268" s="337"/>
      <c r="BH268" s="337"/>
      <c r="BI268" s="337"/>
      <c r="BJ268" s="337"/>
      <c r="BK268" s="337"/>
      <c r="BL268" s="337"/>
      <c r="BM268" s="337"/>
      <c r="BN268" s="337"/>
    </row>
    <row r="269" spans="10:97">
      <c r="J269" s="337"/>
      <c r="K269" s="337"/>
      <c r="L269" s="337"/>
      <c r="M269" s="337"/>
      <c r="N269" s="337"/>
      <c r="O269" s="337"/>
      <c r="P269" s="337"/>
      <c r="Q269" s="337"/>
      <c r="R269" s="337"/>
      <c r="S269" s="337"/>
      <c r="T269" s="337"/>
      <c r="U269" s="337"/>
      <c r="V269" s="337"/>
      <c r="W269" s="337"/>
      <c r="X269" s="337"/>
      <c r="Y269" s="337"/>
      <c r="Z269" s="337"/>
      <c r="AA269" s="337"/>
      <c r="AB269" s="337"/>
      <c r="AC269" s="337"/>
      <c r="AD269" s="337"/>
      <c r="AE269" s="337"/>
      <c r="AF269" s="337"/>
      <c r="AG269" s="337"/>
      <c r="AH269" s="337"/>
      <c r="AI269" s="337"/>
      <c r="AJ269" s="337"/>
      <c r="AK269" s="337"/>
      <c r="AL269" s="337"/>
      <c r="AM269" s="337"/>
      <c r="AN269" s="337"/>
      <c r="AO269" s="337"/>
      <c r="AP269" s="337"/>
      <c r="AQ269" s="337"/>
      <c r="AR269" s="337"/>
      <c r="AS269" s="337"/>
      <c r="AT269" s="337"/>
      <c r="AU269" s="337"/>
      <c r="AV269" s="337"/>
      <c r="AW269" s="337"/>
      <c r="AX269" s="337"/>
      <c r="AY269" s="337"/>
      <c r="AZ269" s="337"/>
      <c r="BA269" s="337"/>
      <c r="BB269" s="337"/>
      <c r="BC269" s="337"/>
      <c r="BD269" s="337"/>
      <c r="BE269" s="337"/>
      <c r="BF269" s="337"/>
      <c r="BG269" s="337"/>
      <c r="BH269" s="337"/>
      <c r="BI269" s="337"/>
      <c r="BJ269" s="337"/>
      <c r="BK269" s="337"/>
      <c r="BL269" s="337"/>
      <c r="BM269" s="337"/>
      <c r="BN269" s="337"/>
    </row>
    <row r="270" spans="10:97">
      <c r="J270" s="337"/>
      <c r="K270" s="337"/>
      <c r="L270" s="337"/>
      <c r="M270" s="337"/>
      <c r="N270" s="337"/>
      <c r="O270" s="337"/>
      <c r="P270" s="337"/>
      <c r="Q270" s="337"/>
      <c r="R270" s="337"/>
      <c r="S270" s="337"/>
      <c r="T270" s="337"/>
      <c r="U270" s="337"/>
      <c r="V270" s="337"/>
      <c r="W270" s="337"/>
      <c r="X270" s="337"/>
      <c r="Y270" s="337"/>
      <c r="Z270" s="337"/>
      <c r="AA270" s="337"/>
      <c r="AB270" s="337"/>
      <c r="AC270" s="337"/>
      <c r="AD270" s="337"/>
      <c r="AE270" s="337"/>
      <c r="AF270" s="337"/>
      <c r="AG270" s="337"/>
      <c r="AH270" s="337"/>
      <c r="AI270" s="337"/>
      <c r="AJ270" s="337"/>
      <c r="AK270" s="337"/>
      <c r="AL270" s="337"/>
      <c r="AM270" s="337"/>
      <c r="AN270" s="337"/>
      <c r="AO270" s="337"/>
      <c r="AP270" s="337"/>
      <c r="AQ270" s="337"/>
      <c r="AR270" s="337"/>
      <c r="AS270" s="337"/>
      <c r="AT270" s="337"/>
      <c r="AU270" s="337"/>
      <c r="AV270" s="337"/>
      <c r="AW270" s="337"/>
      <c r="AX270" s="337"/>
      <c r="AY270" s="337"/>
      <c r="AZ270" s="337"/>
      <c r="BA270" s="337"/>
      <c r="BB270" s="337"/>
      <c r="BC270" s="337"/>
      <c r="BD270" s="337"/>
      <c r="BE270" s="337"/>
      <c r="BF270" s="337"/>
      <c r="BG270" s="337"/>
      <c r="BH270" s="337"/>
      <c r="BI270" s="337"/>
      <c r="BJ270" s="337"/>
      <c r="BK270" s="337"/>
      <c r="BL270" s="337"/>
      <c r="BM270" s="337"/>
      <c r="BN270" s="337"/>
    </row>
    <row r="271" spans="10:97">
      <c r="J271" s="337"/>
      <c r="K271" s="337"/>
      <c r="L271" s="337"/>
      <c r="M271" s="337"/>
      <c r="N271" s="337"/>
      <c r="O271" s="337"/>
      <c r="P271" s="337"/>
      <c r="Q271" s="337"/>
      <c r="R271" s="337"/>
      <c r="S271" s="337"/>
      <c r="T271" s="337"/>
      <c r="U271" s="337"/>
      <c r="V271" s="337"/>
      <c r="W271" s="337"/>
      <c r="X271" s="337"/>
      <c r="Y271" s="337"/>
      <c r="Z271" s="337"/>
      <c r="AA271" s="337"/>
      <c r="AB271" s="337"/>
      <c r="AC271" s="337"/>
      <c r="AD271" s="337"/>
      <c r="AE271" s="337"/>
      <c r="AF271" s="337"/>
      <c r="AG271" s="337"/>
      <c r="AH271" s="337"/>
      <c r="AI271" s="337"/>
      <c r="AJ271" s="337"/>
      <c r="AK271" s="337"/>
      <c r="AL271" s="337"/>
      <c r="AM271" s="337"/>
      <c r="AN271" s="337"/>
      <c r="AO271" s="337"/>
      <c r="AP271" s="337"/>
      <c r="AQ271" s="337"/>
      <c r="AR271" s="337"/>
      <c r="AS271" s="337"/>
      <c r="AT271" s="337"/>
      <c r="AU271" s="337"/>
      <c r="AV271" s="337"/>
      <c r="AW271" s="337"/>
      <c r="AX271" s="337"/>
      <c r="AY271" s="337"/>
      <c r="AZ271" s="337"/>
      <c r="BA271" s="337"/>
      <c r="BB271" s="337"/>
      <c r="BC271" s="337"/>
      <c r="BD271" s="337"/>
      <c r="BE271" s="337"/>
      <c r="BF271" s="337"/>
      <c r="BG271" s="337"/>
      <c r="BH271" s="337"/>
      <c r="BI271" s="337"/>
      <c r="BJ271" s="337"/>
      <c r="BK271" s="337"/>
      <c r="BL271" s="337"/>
      <c r="BM271" s="337"/>
      <c r="BN271" s="337"/>
    </row>
    <row r="272" spans="10:97">
      <c r="J272" s="337"/>
      <c r="K272" s="337"/>
      <c r="L272" s="337"/>
      <c r="M272" s="337"/>
      <c r="N272" s="337"/>
      <c r="O272" s="337"/>
      <c r="P272" s="337"/>
      <c r="Q272" s="337"/>
      <c r="R272" s="337"/>
      <c r="S272" s="337"/>
      <c r="T272" s="337"/>
      <c r="U272" s="337"/>
      <c r="V272" s="337"/>
      <c r="W272" s="337"/>
      <c r="X272" s="337"/>
      <c r="Y272" s="337"/>
      <c r="Z272" s="337"/>
      <c r="AA272" s="337"/>
      <c r="AB272" s="337"/>
      <c r="AC272" s="337"/>
      <c r="AD272" s="337"/>
      <c r="AE272" s="337"/>
      <c r="AF272" s="337"/>
      <c r="AG272" s="337"/>
      <c r="AH272" s="337"/>
      <c r="AI272" s="337"/>
      <c r="AJ272" s="337"/>
      <c r="AK272" s="337"/>
      <c r="AL272" s="337"/>
      <c r="AM272" s="337"/>
      <c r="AN272" s="337"/>
      <c r="AO272" s="337"/>
      <c r="AP272" s="337"/>
      <c r="AQ272" s="337"/>
      <c r="AR272" s="337"/>
      <c r="AS272" s="337"/>
      <c r="AT272" s="337"/>
      <c r="AU272" s="337"/>
      <c r="AV272" s="337"/>
      <c r="AW272" s="337"/>
      <c r="AX272" s="337"/>
      <c r="AY272" s="337"/>
      <c r="AZ272" s="337"/>
      <c r="BA272" s="337"/>
      <c r="BB272" s="337"/>
      <c r="BC272" s="337"/>
      <c r="BD272" s="337"/>
      <c r="BE272" s="337"/>
      <c r="BF272" s="337"/>
      <c r="BG272" s="337"/>
      <c r="BH272" s="337"/>
      <c r="BI272" s="337"/>
      <c r="BJ272" s="337"/>
      <c r="BK272" s="337"/>
      <c r="BL272" s="337"/>
      <c r="BM272" s="337"/>
      <c r="BN272" s="337"/>
    </row>
    <row r="273" spans="10:66">
      <c r="J273" s="337"/>
      <c r="K273" s="337"/>
      <c r="L273" s="337"/>
      <c r="M273" s="337"/>
      <c r="N273" s="337"/>
      <c r="O273" s="337"/>
      <c r="P273" s="337"/>
      <c r="Q273" s="337"/>
      <c r="R273" s="337"/>
      <c r="S273" s="337"/>
      <c r="T273" s="337"/>
      <c r="U273" s="337"/>
      <c r="V273" s="337"/>
      <c r="W273" s="337"/>
      <c r="X273" s="337"/>
      <c r="Y273" s="337"/>
      <c r="Z273" s="337"/>
      <c r="AA273" s="337"/>
      <c r="AB273" s="337"/>
      <c r="AC273" s="337"/>
      <c r="AD273" s="337"/>
      <c r="AE273" s="337"/>
      <c r="AF273" s="337"/>
      <c r="AG273" s="337"/>
      <c r="AH273" s="337"/>
      <c r="AI273" s="337"/>
      <c r="AJ273" s="337"/>
      <c r="AK273" s="337"/>
      <c r="AL273" s="337"/>
      <c r="AM273" s="337"/>
      <c r="AN273" s="337"/>
      <c r="AO273" s="337"/>
      <c r="AP273" s="337"/>
      <c r="AQ273" s="337"/>
      <c r="AR273" s="337"/>
      <c r="AS273" s="337"/>
      <c r="AT273" s="337"/>
      <c r="AU273" s="337"/>
      <c r="AV273" s="337"/>
      <c r="AW273" s="337"/>
      <c r="AX273" s="337"/>
      <c r="AY273" s="337"/>
      <c r="AZ273" s="337"/>
      <c r="BA273" s="337"/>
      <c r="BB273" s="337"/>
      <c r="BC273" s="337"/>
      <c r="BD273" s="337"/>
      <c r="BE273" s="337"/>
      <c r="BF273" s="337"/>
      <c r="BG273" s="337"/>
      <c r="BH273" s="337"/>
      <c r="BI273" s="337"/>
      <c r="BJ273" s="337"/>
      <c r="BK273" s="337"/>
      <c r="BL273" s="337"/>
      <c r="BM273" s="337"/>
      <c r="BN273" s="337"/>
    </row>
    <row r="274" spans="10:66">
      <c r="J274" s="337"/>
      <c r="K274" s="337"/>
      <c r="L274" s="337"/>
      <c r="M274" s="337"/>
      <c r="N274" s="337"/>
      <c r="O274" s="337"/>
      <c r="P274" s="337"/>
      <c r="Q274" s="337"/>
      <c r="R274" s="337"/>
      <c r="S274" s="337"/>
      <c r="T274" s="337"/>
      <c r="U274" s="337"/>
      <c r="V274" s="337"/>
      <c r="W274" s="337"/>
      <c r="X274" s="337"/>
      <c r="Y274" s="337"/>
      <c r="Z274" s="337"/>
      <c r="AA274" s="337"/>
      <c r="AB274" s="337"/>
      <c r="AC274" s="337"/>
      <c r="AD274" s="337"/>
      <c r="AE274" s="337"/>
      <c r="AF274" s="337"/>
      <c r="AG274" s="337"/>
      <c r="AH274" s="337"/>
      <c r="AI274" s="337"/>
      <c r="AJ274" s="337"/>
      <c r="AK274" s="337"/>
      <c r="AL274" s="337"/>
      <c r="AM274" s="337"/>
      <c r="AN274" s="337"/>
      <c r="AO274" s="337"/>
      <c r="AP274" s="337"/>
      <c r="AQ274" s="337"/>
      <c r="AR274" s="337"/>
      <c r="AS274" s="337"/>
      <c r="AT274" s="337"/>
      <c r="AU274" s="337"/>
      <c r="AV274" s="337"/>
      <c r="AW274" s="337"/>
      <c r="AX274" s="337"/>
      <c r="AY274" s="337"/>
      <c r="AZ274" s="337"/>
      <c r="BA274" s="337"/>
      <c r="BB274" s="337"/>
      <c r="BC274" s="337"/>
      <c r="BD274" s="337"/>
      <c r="BE274" s="337"/>
      <c r="BF274" s="337"/>
      <c r="BG274" s="337"/>
      <c r="BH274" s="337"/>
      <c r="BI274" s="337"/>
      <c r="BJ274" s="337"/>
      <c r="BK274" s="337"/>
      <c r="BL274" s="337"/>
      <c r="BM274" s="337"/>
      <c r="BN274" s="337"/>
    </row>
    <row r="275" spans="10:66">
      <c r="J275" s="337"/>
      <c r="K275" s="337"/>
      <c r="L275" s="337"/>
      <c r="M275" s="337"/>
      <c r="N275" s="337"/>
      <c r="O275" s="337"/>
      <c r="P275" s="337"/>
      <c r="Q275" s="337"/>
      <c r="R275" s="337"/>
      <c r="S275" s="337"/>
      <c r="T275" s="337"/>
      <c r="U275" s="337"/>
      <c r="V275" s="337"/>
      <c r="W275" s="337"/>
      <c r="X275" s="337"/>
      <c r="Y275" s="337"/>
      <c r="Z275" s="337"/>
      <c r="AA275" s="337"/>
      <c r="AB275" s="337"/>
      <c r="AC275" s="337"/>
      <c r="AD275" s="337"/>
      <c r="AE275" s="337"/>
      <c r="AF275" s="337"/>
      <c r="AG275" s="337"/>
      <c r="AH275" s="337"/>
      <c r="AI275" s="337"/>
      <c r="AJ275" s="337"/>
      <c r="AK275" s="337"/>
      <c r="AL275" s="337"/>
      <c r="AM275" s="337"/>
      <c r="AN275" s="337"/>
      <c r="AO275" s="337"/>
      <c r="AP275" s="337"/>
      <c r="AQ275" s="337"/>
      <c r="AR275" s="337"/>
      <c r="AS275" s="337"/>
      <c r="AT275" s="337"/>
      <c r="AU275" s="337"/>
      <c r="AV275" s="337"/>
      <c r="AW275" s="337"/>
      <c r="AX275" s="337"/>
      <c r="AY275" s="337"/>
      <c r="AZ275" s="337"/>
      <c r="BA275" s="337"/>
      <c r="BB275" s="337"/>
      <c r="BC275" s="337"/>
      <c r="BD275" s="337"/>
      <c r="BE275" s="337"/>
      <c r="BF275" s="337"/>
      <c r="BG275" s="337"/>
      <c r="BH275" s="337"/>
      <c r="BI275" s="337"/>
      <c r="BJ275" s="337"/>
      <c r="BK275" s="337"/>
      <c r="BL275" s="337"/>
      <c r="BM275" s="337"/>
      <c r="BN275" s="337"/>
    </row>
    <row r="276" spans="10:66">
      <c r="J276" s="337"/>
      <c r="K276" s="337"/>
      <c r="L276" s="337"/>
      <c r="M276" s="337"/>
      <c r="N276" s="337"/>
      <c r="O276" s="337"/>
      <c r="P276" s="337"/>
      <c r="Q276" s="337"/>
      <c r="R276" s="337"/>
      <c r="S276" s="337"/>
      <c r="T276" s="337"/>
      <c r="U276" s="337"/>
      <c r="V276" s="337"/>
      <c r="W276" s="337"/>
      <c r="X276" s="337"/>
      <c r="Y276" s="337"/>
      <c r="Z276" s="337"/>
      <c r="AA276" s="337"/>
      <c r="AB276" s="337"/>
      <c r="AC276" s="337"/>
      <c r="AD276" s="337"/>
      <c r="AE276" s="337"/>
      <c r="AF276" s="337"/>
      <c r="AG276" s="337"/>
      <c r="AH276" s="337"/>
      <c r="AI276" s="337"/>
      <c r="AJ276" s="337"/>
      <c r="AK276" s="337"/>
      <c r="AL276" s="337"/>
      <c r="AM276" s="337"/>
      <c r="AN276" s="337"/>
      <c r="AO276" s="337"/>
      <c r="AP276" s="337"/>
      <c r="AQ276" s="337"/>
      <c r="AR276" s="337"/>
      <c r="AS276" s="337"/>
      <c r="AT276" s="337"/>
      <c r="AU276" s="337"/>
      <c r="AV276" s="337"/>
      <c r="AW276" s="337"/>
      <c r="AX276" s="337"/>
      <c r="AY276" s="337"/>
      <c r="AZ276" s="337"/>
      <c r="BA276" s="337"/>
      <c r="BB276" s="337"/>
      <c r="BC276" s="337"/>
      <c r="BD276" s="337"/>
      <c r="BE276" s="337"/>
      <c r="BF276" s="337"/>
      <c r="BG276" s="337"/>
      <c r="BH276" s="337"/>
      <c r="BI276" s="337"/>
      <c r="BJ276" s="337"/>
      <c r="BK276" s="337"/>
      <c r="BL276" s="337"/>
      <c r="BM276" s="337"/>
      <c r="BN276" s="337"/>
    </row>
    <row r="277" spans="10:66">
      <c r="J277" s="337"/>
      <c r="K277" s="337"/>
      <c r="L277" s="337"/>
      <c r="M277" s="337"/>
      <c r="N277" s="337"/>
      <c r="O277" s="337"/>
      <c r="P277" s="337"/>
      <c r="Q277" s="337"/>
      <c r="R277" s="337"/>
      <c r="S277" s="337"/>
      <c r="T277" s="337"/>
      <c r="U277" s="337"/>
      <c r="V277" s="337"/>
      <c r="W277" s="337"/>
      <c r="X277" s="337"/>
      <c r="Y277" s="337"/>
      <c r="Z277" s="337"/>
      <c r="AA277" s="337"/>
      <c r="AB277" s="337"/>
      <c r="AC277" s="337"/>
      <c r="AD277" s="337"/>
      <c r="AE277" s="337"/>
      <c r="AF277" s="337"/>
      <c r="AG277" s="337"/>
      <c r="AH277" s="337"/>
      <c r="AI277" s="337"/>
      <c r="AJ277" s="337"/>
      <c r="AK277" s="337"/>
      <c r="AL277" s="337"/>
      <c r="AM277" s="337"/>
      <c r="AN277" s="337"/>
      <c r="AO277" s="337"/>
      <c r="AP277" s="337"/>
      <c r="AQ277" s="337"/>
      <c r="AR277" s="337"/>
      <c r="AS277" s="337"/>
      <c r="AT277" s="337"/>
      <c r="AU277" s="337"/>
      <c r="AV277" s="337"/>
      <c r="AW277" s="337"/>
      <c r="AX277" s="337"/>
      <c r="AY277" s="337"/>
      <c r="AZ277" s="337"/>
      <c r="BA277" s="337"/>
      <c r="BB277" s="337"/>
      <c r="BC277" s="337"/>
      <c r="BD277" s="337"/>
      <c r="BE277" s="337"/>
      <c r="BF277" s="337"/>
      <c r="BG277" s="337"/>
      <c r="BH277" s="337"/>
      <c r="BI277" s="337"/>
      <c r="BJ277" s="337"/>
      <c r="BK277" s="337"/>
      <c r="BL277" s="337"/>
      <c r="BM277" s="337"/>
      <c r="BN277" s="337"/>
    </row>
    <row r="278" spans="10:66">
      <c r="J278" s="337"/>
      <c r="K278" s="337"/>
      <c r="L278" s="337"/>
      <c r="M278" s="337"/>
      <c r="N278" s="337"/>
      <c r="O278" s="337"/>
      <c r="P278" s="337"/>
      <c r="Q278" s="337"/>
      <c r="R278" s="337"/>
      <c r="S278" s="337"/>
      <c r="T278" s="337"/>
      <c r="U278" s="337"/>
      <c r="V278" s="337"/>
      <c r="W278" s="337"/>
      <c r="X278" s="337"/>
      <c r="Y278" s="337"/>
      <c r="Z278" s="337"/>
      <c r="AA278" s="337"/>
      <c r="AB278" s="337"/>
      <c r="AC278" s="337"/>
      <c r="AD278" s="337"/>
      <c r="AE278" s="337"/>
      <c r="AF278" s="337"/>
      <c r="AG278" s="337"/>
      <c r="AH278" s="337"/>
      <c r="AI278" s="337"/>
      <c r="AJ278" s="337"/>
      <c r="AK278" s="337"/>
      <c r="AL278" s="337"/>
      <c r="AM278" s="337"/>
      <c r="AN278" s="337"/>
      <c r="AO278" s="337"/>
      <c r="AP278" s="337"/>
      <c r="AQ278" s="337"/>
      <c r="AR278" s="337"/>
      <c r="AS278" s="337"/>
      <c r="AT278" s="337"/>
      <c r="AU278" s="337"/>
      <c r="AV278" s="337"/>
      <c r="AW278" s="337"/>
      <c r="AX278" s="337"/>
      <c r="AY278" s="337"/>
      <c r="AZ278" s="337"/>
      <c r="BA278" s="337"/>
      <c r="BB278" s="337"/>
      <c r="BC278" s="337"/>
      <c r="BD278" s="337"/>
      <c r="BE278" s="337"/>
      <c r="BF278" s="337"/>
      <c r="BG278" s="337"/>
      <c r="BH278" s="337"/>
      <c r="BI278" s="337"/>
      <c r="BJ278" s="337"/>
      <c r="BK278" s="337"/>
      <c r="BL278" s="337"/>
      <c r="BM278" s="337"/>
      <c r="BN278" s="337"/>
    </row>
    <row r="279" spans="10:66">
      <c r="J279" s="337"/>
      <c r="K279" s="337"/>
      <c r="L279" s="337"/>
      <c r="M279" s="337"/>
      <c r="N279" s="337"/>
      <c r="O279" s="337"/>
      <c r="P279" s="337"/>
      <c r="Q279" s="337"/>
      <c r="R279" s="337"/>
      <c r="S279" s="337"/>
      <c r="T279" s="337"/>
      <c r="U279" s="337"/>
      <c r="V279" s="337"/>
      <c r="W279" s="337"/>
      <c r="X279" s="337"/>
      <c r="Y279" s="337"/>
      <c r="Z279" s="337"/>
      <c r="AA279" s="337"/>
      <c r="AB279" s="337"/>
      <c r="AC279" s="337"/>
      <c r="AD279" s="337"/>
      <c r="AE279" s="337"/>
      <c r="AF279" s="337"/>
      <c r="AG279" s="337"/>
      <c r="AH279" s="337"/>
      <c r="AI279" s="337"/>
      <c r="AJ279" s="337"/>
      <c r="AK279" s="337"/>
      <c r="AL279" s="337"/>
      <c r="AM279" s="337"/>
      <c r="AN279" s="337"/>
      <c r="AO279" s="337"/>
      <c r="AP279" s="337"/>
      <c r="AQ279" s="337"/>
      <c r="AR279" s="337"/>
      <c r="AS279" s="337"/>
      <c r="AT279" s="337"/>
      <c r="AU279" s="337"/>
      <c r="AV279" s="337"/>
      <c r="AW279" s="337"/>
      <c r="AX279" s="337"/>
      <c r="AY279" s="337"/>
      <c r="AZ279" s="337"/>
      <c r="BA279" s="337"/>
      <c r="BB279" s="337"/>
      <c r="BC279" s="337"/>
      <c r="BD279" s="337"/>
      <c r="BE279" s="337"/>
      <c r="BF279" s="337"/>
      <c r="BG279" s="337"/>
      <c r="BH279" s="337"/>
      <c r="BI279" s="337"/>
      <c r="BJ279" s="337"/>
      <c r="BK279" s="337"/>
      <c r="BL279" s="337"/>
      <c r="BM279" s="337"/>
      <c r="BN279" s="337"/>
    </row>
    <row r="280" spans="10:66">
      <c r="J280" s="337"/>
      <c r="K280" s="337"/>
      <c r="L280" s="337"/>
      <c r="M280" s="337"/>
      <c r="N280" s="337"/>
      <c r="O280" s="337"/>
      <c r="P280" s="337"/>
      <c r="Q280" s="337"/>
      <c r="R280" s="337"/>
      <c r="S280" s="337"/>
      <c r="T280" s="337"/>
      <c r="U280" s="337"/>
      <c r="V280" s="337"/>
      <c r="W280" s="337"/>
      <c r="X280" s="337"/>
      <c r="Y280" s="337"/>
      <c r="Z280" s="337"/>
      <c r="AA280" s="337"/>
      <c r="AB280" s="337"/>
      <c r="AC280" s="337"/>
      <c r="AD280" s="337"/>
      <c r="AE280" s="337"/>
      <c r="AF280" s="337"/>
      <c r="AG280" s="337"/>
      <c r="AH280" s="337"/>
      <c r="AI280" s="337"/>
      <c r="AJ280" s="337"/>
      <c r="AK280" s="337"/>
      <c r="AL280" s="337"/>
      <c r="AM280" s="337"/>
      <c r="AN280" s="337"/>
      <c r="AO280" s="337"/>
      <c r="AP280" s="337"/>
      <c r="AQ280" s="337"/>
      <c r="AR280" s="337"/>
      <c r="AS280" s="337"/>
      <c r="AT280" s="337"/>
      <c r="AU280" s="337"/>
      <c r="AV280" s="337"/>
      <c r="AW280" s="337"/>
      <c r="AX280" s="337"/>
      <c r="AY280" s="337"/>
      <c r="AZ280" s="337"/>
      <c r="BA280" s="337"/>
      <c r="BB280" s="337"/>
      <c r="BC280" s="337"/>
      <c r="BD280" s="337"/>
      <c r="BE280" s="337"/>
      <c r="BF280" s="337"/>
      <c r="BG280" s="337"/>
      <c r="BH280" s="337"/>
      <c r="BI280" s="337"/>
      <c r="BJ280" s="337"/>
      <c r="BK280" s="337"/>
      <c r="BL280" s="337"/>
      <c r="BM280" s="337"/>
      <c r="BN280" s="337"/>
    </row>
    <row r="281" spans="10:66">
      <c r="J281" s="337"/>
      <c r="K281" s="337"/>
      <c r="L281" s="337"/>
      <c r="M281" s="337"/>
      <c r="N281" s="337"/>
      <c r="O281" s="337"/>
      <c r="P281" s="337"/>
      <c r="Q281" s="337"/>
      <c r="R281" s="337"/>
      <c r="S281" s="337"/>
      <c r="T281" s="337"/>
      <c r="U281" s="337"/>
      <c r="V281" s="337"/>
      <c r="W281" s="337"/>
      <c r="X281" s="337"/>
      <c r="Y281" s="337"/>
      <c r="Z281" s="337"/>
      <c r="AA281" s="337"/>
      <c r="AB281" s="337"/>
      <c r="AC281" s="337"/>
      <c r="AD281" s="337"/>
      <c r="AE281" s="337"/>
      <c r="AF281" s="337"/>
      <c r="AG281" s="337"/>
      <c r="AH281" s="337"/>
      <c r="AI281" s="337"/>
      <c r="AJ281" s="337"/>
      <c r="AK281" s="337"/>
      <c r="AL281" s="337"/>
      <c r="AM281" s="337"/>
      <c r="AN281" s="337"/>
      <c r="AO281" s="337"/>
      <c r="AP281" s="337"/>
      <c r="AQ281" s="337"/>
      <c r="AR281" s="337"/>
      <c r="AS281" s="337"/>
      <c r="AT281" s="337"/>
      <c r="AU281" s="337"/>
      <c r="AV281" s="337"/>
      <c r="AW281" s="337"/>
      <c r="AX281" s="337"/>
      <c r="AY281" s="337"/>
      <c r="AZ281" s="337"/>
      <c r="BA281" s="337"/>
      <c r="BB281" s="337"/>
      <c r="BC281" s="337"/>
      <c r="BD281" s="337"/>
      <c r="BE281" s="337"/>
      <c r="BF281" s="337"/>
      <c r="BG281" s="337"/>
      <c r="BH281" s="337"/>
      <c r="BI281" s="337"/>
      <c r="BJ281" s="337"/>
      <c r="BK281" s="337"/>
      <c r="BL281" s="337"/>
      <c r="BM281" s="337"/>
      <c r="BN281" s="337"/>
    </row>
    <row r="282" spans="10:66">
      <c r="J282" s="337"/>
      <c r="K282" s="337"/>
      <c r="L282" s="337"/>
      <c r="M282" s="337"/>
      <c r="N282" s="337"/>
      <c r="O282" s="337"/>
      <c r="P282" s="337"/>
      <c r="Q282" s="337"/>
      <c r="R282" s="337"/>
      <c r="S282" s="337"/>
      <c r="T282" s="337"/>
      <c r="U282" s="337"/>
      <c r="V282" s="337"/>
      <c r="W282" s="337"/>
      <c r="X282" s="337"/>
      <c r="Y282" s="337"/>
      <c r="Z282" s="337"/>
      <c r="AA282" s="337"/>
      <c r="AB282" s="337"/>
      <c r="AC282" s="337"/>
      <c r="AD282" s="337"/>
      <c r="AE282" s="337"/>
      <c r="AF282" s="337"/>
      <c r="AG282" s="337"/>
      <c r="AH282" s="337"/>
      <c r="AI282" s="337"/>
      <c r="AJ282" s="337"/>
      <c r="AK282" s="337"/>
      <c r="AL282" s="337"/>
      <c r="AM282" s="337"/>
      <c r="AN282" s="337"/>
      <c r="AO282" s="337"/>
      <c r="AP282" s="337"/>
      <c r="AQ282" s="337"/>
      <c r="AR282" s="337"/>
      <c r="AS282" s="337"/>
      <c r="AT282" s="337"/>
      <c r="AU282" s="337"/>
      <c r="AV282" s="337"/>
      <c r="AW282" s="337"/>
      <c r="AX282" s="337"/>
      <c r="AY282" s="337"/>
      <c r="AZ282" s="337"/>
      <c r="BA282" s="337"/>
      <c r="BB282" s="337"/>
      <c r="BC282" s="337"/>
      <c r="BD282" s="337"/>
      <c r="BE282" s="337"/>
      <c r="BF282" s="337"/>
      <c r="BG282" s="337"/>
      <c r="BH282" s="337"/>
      <c r="BI282" s="337"/>
      <c r="BJ282" s="337"/>
      <c r="BK282" s="337"/>
      <c r="BL282" s="337"/>
      <c r="BM282" s="337"/>
      <c r="BN282" s="337"/>
    </row>
    <row r="283" spans="10:66">
      <c r="J283" s="337"/>
      <c r="K283" s="337"/>
      <c r="L283" s="337"/>
      <c r="M283" s="337"/>
      <c r="N283" s="337"/>
      <c r="O283" s="337"/>
      <c r="P283" s="337"/>
      <c r="Q283" s="337"/>
      <c r="R283" s="337"/>
      <c r="S283" s="337"/>
      <c r="T283" s="337"/>
      <c r="U283" s="337"/>
      <c r="V283" s="337"/>
      <c r="W283" s="337"/>
      <c r="X283" s="337"/>
      <c r="Y283" s="337"/>
      <c r="Z283" s="337"/>
      <c r="AA283" s="337"/>
      <c r="AB283" s="337"/>
      <c r="AC283" s="337"/>
      <c r="AD283" s="337"/>
      <c r="AE283" s="337"/>
      <c r="AF283" s="337"/>
      <c r="AG283" s="337"/>
      <c r="AH283" s="337"/>
      <c r="AI283" s="337"/>
      <c r="AJ283" s="337"/>
      <c r="AK283" s="337"/>
      <c r="AL283" s="337"/>
      <c r="AM283" s="337"/>
      <c r="AN283" s="337"/>
      <c r="AO283" s="337"/>
      <c r="AP283" s="337"/>
      <c r="AQ283" s="337"/>
      <c r="AR283" s="337"/>
      <c r="AS283" s="337"/>
      <c r="AT283" s="337"/>
      <c r="AU283" s="337"/>
      <c r="AV283" s="337"/>
      <c r="AW283" s="337"/>
      <c r="AX283" s="337"/>
      <c r="AY283" s="337"/>
      <c r="AZ283" s="337"/>
      <c r="BA283" s="337"/>
      <c r="BB283" s="337"/>
      <c r="BC283" s="337"/>
      <c r="BD283" s="337"/>
      <c r="BE283" s="337"/>
      <c r="BF283" s="337"/>
      <c r="BG283" s="337"/>
      <c r="BH283" s="337"/>
      <c r="BI283" s="337"/>
      <c r="BJ283" s="337"/>
      <c r="BK283" s="337"/>
      <c r="BL283" s="337"/>
      <c r="BM283" s="337"/>
      <c r="BN283" s="337"/>
    </row>
    <row r="284" spans="10:66">
      <c r="J284" s="337"/>
      <c r="K284" s="337"/>
      <c r="L284" s="337"/>
      <c r="M284" s="337"/>
      <c r="N284" s="337"/>
      <c r="O284" s="337"/>
      <c r="P284" s="337"/>
      <c r="Q284" s="337"/>
      <c r="R284" s="337"/>
      <c r="S284" s="337"/>
      <c r="T284" s="337"/>
      <c r="U284" s="337"/>
      <c r="V284" s="337"/>
      <c r="W284" s="337"/>
      <c r="X284" s="337"/>
      <c r="Y284" s="337"/>
      <c r="Z284" s="337"/>
      <c r="AA284" s="337"/>
      <c r="AB284" s="337"/>
      <c r="AC284" s="337"/>
      <c r="AD284" s="337"/>
      <c r="AE284" s="337"/>
      <c r="AF284" s="337"/>
      <c r="AG284" s="337"/>
      <c r="AH284" s="337"/>
      <c r="AI284" s="337"/>
      <c r="AJ284" s="337"/>
      <c r="AK284" s="337"/>
      <c r="AL284" s="337"/>
      <c r="AM284" s="337"/>
      <c r="AN284" s="337"/>
      <c r="AO284" s="337"/>
      <c r="AP284" s="337"/>
      <c r="AQ284" s="337"/>
      <c r="AR284" s="337"/>
      <c r="AS284" s="337"/>
      <c r="AT284" s="337"/>
      <c r="AU284" s="337"/>
      <c r="AV284" s="337"/>
      <c r="AW284" s="337"/>
      <c r="AX284" s="337"/>
      <c r="AY284" s="337"/>
      <c r="AZ284" s="337"/>
      <c r="BA284" s="337"/>
      <c r="BB284" s="337"/>
      <c r="BC284" s="337"/>
      <c r="BD284" s="337"/>
      <c r="BE284" s="337"/>
      <c r="BF284" s="337"/>
      <c r="BG284" s="337"/>
      <c r="BH284" s="337"/>
      <c r="BI284" s="337"/>
      <c r="BJ284" s="337"/>
      <c r="BK284" s="337"/>
      <c r="BL284" s="337"/>
      <c r="BM284" s="337"/>
      <c r="BN284" s="337"/>
    </row>
    <row r="285" spans="10:66">
      <c r="J285" s="337"/>
      <c r="K285" s="337"/>
      <c r="L285" s="337"/>
      <c r="M285" s="337"/>
      <c r="N285" s="337"/>
      <c r="O285" s="337"/>
      <c r="P285" s="337"/>
      <c r="Q285" s="337"/>
      <c r="R285" s="337"/>
      <c r="S285" s="337"/>
      <c r="T285" s="337"/>
      <c r="U285" s="337"/>
      <c r="V285" s="337"/>
      <c r="W285" s="337"/>
      <c r="X285" s="337"/>
      <c r="Y285" s="337"/>
      <c r="Z285" s="337"/>
      <c r="AA285" s="337"/>
      <c r="AB285" s="337"/>
      <c r="AC285" s="337"/>
      <c r="AD285" s="337"/>
      <c r="AE285" s="337"/>
      <c r="AF285" s="337"/>
      <c r="AG285" s="337"/>
      <c r="AH285" s="337"/>
      <c r="AI285" s="337"/>
      <c r="AJ285" s="337"/>
      <c r="AK285" s="337"/>
      <c r="AL285" s="337"/>
      <c r="AM285" s="337"/>
      <c r="AN285" s="337"/>
      <c r="AO285" s="337"/>
      <c r="AP285" s="337"/>
      <c r="AQ285" s="337"/>
      <c r="AR285" s="337"/>
      <c r="AS285" s="337"/>
      <c r="AT285" s="337"/>
      <c r="AU285" s="337"/>
      <c r="AV285" s="337"/>
      <c r="AW285" s="337"/>
      <c r="AX285" s="337"/>
      <c r="AY285" s="337"/>
      <c r="AZ285" s="337"/>
      <c r="BA285" s="337"/>
      <c r="BB285" s="337"/>
      <c r="BC285" s="337"/>
      <c r="BD285" s="337"/>
      <c r="BE285" s="337"/>
      <c r="BF285" s="337"/>
      <c r="BG285" s="337"/>
      <c r="BH285" s="337"/>
      <c r="BI285" s="337"/>
      <c r="BJ285" s="337"/>
      <c r="BK285" s="337"/>
      <c r="BL285" s="337"/>
      <c r="BM285" s="337"/>
      <c r="BN285" s="337"/>
    </row>
    <row r="286" spans="10:66">
      <c r="J286" s="337"/>
      <c r="K286" s="337"/>
      <c r="L286" s="337"/>
      <c r="M286" s="337"/>
      <c r="N286" s="337"/>
      <c r="O286" s="337"/>
      <c r="P286" s="337"/>
      <c r="Q286" s="337"/>
      <c r="R286" s="337"/>
      <c r="S286" s="337"/>
      <c r="T286" s="337"/>
      <c r="U286" s="337"/>
      <c r="V286" s="337"/>
      <c r="W286" s="337"/>
      <c r="X286" s="337"/>
      <c r="Y286" s="337"/>
      <c r="Z286" s="337"/>
      <c r="AA286" s="337"/>
      <c r="AB286" s="337"/>
      <c r="AC286" s="337"/>
      <c r="AD286" s="337"/>
      <c r="AE286" s="337"/>
      <c r="AF286" s="337"/>
      <c r="AG286" s="337"/>
      <c r="AH286" s="337"/>
      <c r="AI286" s="337"/>
      <c r="AJ286" s="337"/>
      <c r="AK286" s="337"/>
      <c r="AL286" s="337"/>
      <c r="AM286" s="337"/>
      <c r="AN286" s="337"/>
      <c r="AO286" s="337"/>
      <c r="AP286" s="337"/>
      <c r="AQ286" s="337"/>
      <c r="AR286" s="337"/>
      <c r="AS286" s="337"/>
      <c r="AT286" s="337"/>
      <c r="AU286" s="337"/>
      <c r="AV286" s="337"/>
      <c r="AW286" s="337"/>
      <c r="AX286" s="337"/>
      <c r="AY286" s="337"/>
      <c r="AZ286" s="337"/>
      <c r="BA286" s="337"/>
      <c r="BB286" s="337"/>
      <c r="BC286" s="337"/>
      <c r="BD286" s="337"/>
      <c r="BE286" s="337"/>
      <c r="BF286" s="337"/>
      <c r="BG286" s="337"/>
      <c r="BH286" s="337"/>
      <c r="BI286" s="337"/>
      <c r="BJ286" s="337"/>
      <c r="BK286" s="337"/>
      <c r="BL286" s="337"/>
      <c r="BM286" s="337"/>
      <c r="BN286" s="337"/>
    </row>
    <row r="287" spans="10:66">
      <c r="J287" s="337"/>
      <c r="K287" s="337"/>
      <c r="L287" s="337"/>
      <c r="M287" s="337"/>
      <c r="N287" s="337"/>
      <c r="O287" s="337"/>
      <c r="P287" s="337"/>
      <c r="Q287" s="337"/>
      <c r="R287" s="337"/>
      <c r="S287" s="337"/>
      <c r="T287" s="337"/>
      <c r="U287" s="337"/>
      <c r="V287" s="337"/>
      <c r="W287" s="337"/>
      <c r="X287" s="337"/>
      <c r="Y287" s="337"/>
      <c r="Z287" s="337"/>
      <c r="AA287" s="337"/>
      <c r="AB287" s="337"/>
      <c r="AC287" s="337"/>
      <c r="AD287" s="337"/>
      <c r="AE287" s="337"/>
      <c r="AF287" s="337"/>
      <c r="AG287" s="337"/>
      <c r="AH287" s="337"/>
      <c r="AI287" s="337"/>
      <c r="AJ287" s="337"/>
      <c r="AK287" s="337"/>
      <c r="AL287" s="337"/>
      <c r="AM287" s="337"/>
      <c r="AN287" s="337"/>
      <c r="AO287" s="337"/>
      <c r="AP287" s="337"/>
      <c r="AQ287" s="337"/>
      <c r="AR287" s="337"/>
      <c r="AS287" s="337"/>
      <c r="AT287" s="337"/>
      <c r="AU287" s="337"/>
      <c r="AV287" s="337"/>
      <c r="AW287" s="337"/>
      <c r="AX287" s="337"/>
      <c r="AY287" s="337"/>
      <c r="AZ287" s="337"/>
      <c r="BA287" s="337"/>
      <c r="BB287" s="337"/>
      <c r="BC287" s="337"/>
      <c r="BD287" s="337"/>
      <c r="BE287" s="337"/>
      <c r="BF287" s="337"/>
      <c r="BG287" s="337"/>
      <c r="BH287" s="337"/>
      <c r="BI287" s="337"/>
      <c r="BJ287" s="337"/>
      <c r="BK287" s="337"/>
      <c r="BL287" s="337"/>
      <c r="BM287" s="337"/>
      <c r="BN287" s="337"/>
    </row>
    <row r="288" spans="10:66">
      <c r="J288" s="337"/>
      <c r="K288" s="337"/>
      <c r="L288" s="337"/>
      <c r="M288" s="337"/>
      <c r="N288" s="337"/>
      <c r="O288" s="337"/>
      <c r="P288" s="337"/>
      <c r="Q288" s="337"/>
      <c r="R288" s="337"/>
      <c r="S288" s="337"/>
      <c r="T288" s="337"/>
      <c r="U288" s="337"/>
      <c r="V288" s="337"/>
      <c r="W288" s="337"/>
      <c r="X288" s="337"/>
      <c r="Y288" s="337"/>
      <c r="Z288" s="337"/>
      <c r="AA288" s="337"/>
      <c r="AB288" s="337"/>
      <c r="AC288" s="337"/>
      <c r="AD288" s="337"/>
      <c r="AE288" s="337"/>
      <c r="AF288" s="337"/>
      <c r="AG288" s="337"/>
      <c r="AH288" s="337"/>
      <c r="AI288" s="337"/>
      <c r="AJ288" s="337"/>
      <c r="AK288" s="337"/>
      <c r="AL288" s="337"/>
      <c r="AM288" s="337"/>
      <c r="AN288" s="337"/>
      <c r="AO288" s="337"/>
      <c r="AP288" s="337"/>
      <c r="AQ288" s="337"/>
      <c r="AR288" s="337"/>
      <c r="AS288" s="337"/>
      <c r="AT288" s="337"/>
      <c r="AU288" s="337"/>
      <c r="AV288" s="337"/>
      <c r="AW288" s="337"/>
      <c r="AX288" s="337"/>
      <c r="AY288" s="337"/>
      <c r="AZ288" s="337"/>
      <c r="BA288" s="337"/>
      <c r="BB288" s="337"/>
      <c r="BC288" s="337"/>
      <c r="BD288" s="337"/>
      <c r="BE288" s="337"/>
      <c r="BF288" s="337"/>
      <c r="BG288" s="337"/>
      <c r="BH288" s="337"/>
      <c r="BI288" s="337"/>
      <c r="BJ288" s="337"/>
      <c r="BK288" s="337"/>
      <c r="BL288" s="337"/>
      <c r="BM288" s="337"/>
      <c r="BN288" s="337"/>
    </row>
  </sheetData>
  <sheetProtection password="F7EB" sheet="1" objects="1" scenarios="1"/>
  <mergeCells count="30">
    <mergeCell ref="H3:I3"/>
    <mergeCell ref="A1:F1"/>
    <mergeCell ref="H1:I1"/>
    <mergeCell ref="B2:F2"/>
    <mergeCell ref="H4:I4"/>
    <mergeCell ref="H5:I5"/>
    <mergeCell ref="H6:I6"/>
    <mergeCell ref="A7:B7"/>
    <mergeCell ref="A8:D8"/>
    <mergeCell ref="E8:F8"/>
    <mergeCell ref="H12:H13"/>
    <mergeCell ref="I12:I13"/>
    <mergeCell ref="E29:F29"/>
    <mergeCell ref="BG100:BJ100"/>
    <mergeCell ref="AV101:AW101"/>
    <mergeCell ref="AY101:AZ101"/>
    <mergeCell ref="BG106:BJ106"/>
    <mergeCell ref="AV126:AW126"/>
    <mergeCell ref="BS165:BU167"/>
    <mergeCell ref="BV165:BX167"/>
    <mergeCell ref="BS168:BU168"/>
    <mergeCell ref="BV168:BX168"/>
    <mergeCell ref="BS169:BU169"/>
    <mergeCell ref="BV169:BX169"/>
    <mergeCell ref="BS170:BU170"/>
    <mergeCell ref="BV170:BX170"/>
    <mergeCell ref="BT171:BT172"/>
    <mergeCell ref="BU171:BU172"/>
    <mergeCell ref="BW171:BW172"/>
    <mergeCell ref="BX171:BX172"/>
  </mergeCells>
  <conditionalFormatting sqref="A11:B11 A16:B16 A13:D13 C20:D21">
    <cfRule type="expression" dxfId="14" priority="3">
      <formula>$B$6="2 Yrs Enh"</formula>
    </cfRule>
  </conditionalFormatting>
  <conditionalFormatting sqref="C16:D21">
    <cfRule type="expression" dxfId="13" priority="2">
      <formula>$B$6="3 Yrs Pack"</formula>
    </cfRule>
  </conditionalFormatting>
  <conditionalFormatting sqref="A11:B11 A16:B16 C16:D21 A13:D13">
    <cfRule type="expression" dxfId="12" priority="1">
      <formula>$B$6="2 Yrs Pack"</formula>
    </cfRule>
  </conditionalFormatting>
  <dataValidations count="6">
    <dataValidation type="list" operator="equal" allowBlank="1" showErrorMessage="1" sqref="D5 WVL983045 WLP983045 WBT983045 VRX983045 VIB983045 UYF983045 UOJ983045 UEN983045 TUR983045 TKV983045 TAZ983045 SRD983045 SHH983045 RXL983045 RNP983045 RDT983045 QTX983045 QKB983045 QAF983045 PQJ983045 PGN983045 OWR983045 OMV983045 OCZ983045 NTD983045 NJH983045 MZL983045 MPP983045 MFT983045 LVX983045 LMB983045 LCF983045 KSJ983045 KIN983045 JYR983045 JOV983045 JEZ983045 IVD983045 ILH983045 IBL983045 HRP983045 HHT983045 GXX983045 GOB983045 GEF983045 FUJ983045 FKN983045 FAR983045 EQV983045 EGZ983045 DXD983045 DNH983045 DDL983045 CTP983045 CJT983045 BZX983045 BQB983045 BGF983045 AWJ983045 AMN983045 ACR983045 SV983045 IZ983045 D983045 WVL917509 WLP917509 WBT917509 VRX917509 VIB917509 UYF917509 UOJ917509 UEN917509 TUR917509 TKV917509 TAZ917509 SRD917509 SHH917509 RXL917509 RNP917509 RDT917509 QTX917509 QKB917509 QAF917509 PQJ917509 PGN917509 OWR917509 OMV917509 OCZ917509 NTD917509 NJH917509 MZL917509 MPP917509 MFT917509 LVX917509 LMB917509 LCF917509 KSJ917509 KIN917509 JYR917509 JOV917509 JEZ917509 IVD917509 ILH917509 IBL917509 HRP917509 HHT917509 GXX917509 GOB917509 GEF917509 FUJ917509 FKN917509 FAR917509 EQV917509 EGZ917509 DXD917509 DNH917509 DDL917509 CTP917509 CJT917509 BZX917509 BQB917509 BGF917509 AWJ917509 AMN917509 ACR917509 SV917509 IZ917509 D917509 WVL851973 WLP851973 WBT851973 VRX851973 VIB851973 UYF851973 UOJ851973 UEN851973 TUR851973 TKV851973 TAZ851973 SRD851973 SHH851973 RXL851973 RNP851973 RDT851973 QTX851973 QKB851973 QAF851973 PQJ851973 PGN851973 OWR851973 OMV851973 OCZ851973 NTD851973 NJH851973 MZL851973 MPP851973 MFT851973 LVX851973 LMB851973 LCF851973 KSJ851973 KIN851973 JYR851973 JOV851973 JEZ851973 IVD851973 ILH851973 IBL851973 HRP851973 HHT851973 GXX851973 GOB851973 GEF851973 FUJ851973 FKN851973 FAR851973 EQV851973 EGZ851973 DXD851973 DNH851973 DDL851973 CTP851973 CJT851973 BZX851973 BQB851973 BGF851973 AWJ851973 AMN851973 ACR851973 SV851973 IZ851973 D851973 WVL786437 WLP786437 WBT786437 VRX786437 VIB786437 UYF786437 UOJ786437 UEN786437 TUR786437 TKV786437 TAZ786437 SRD786437 SHH786437 RXL786437 RNP786437 RDT786437 QTX786437 QKB786437 QAF786437 PQJ786437 PGN786437 OWR786437 OMV786437 OCZ786437 NTD786437 NJH786437 MZL786437 MPP786437 MFT786437 LVX786437 LMB786437 LCF786437 KSJ786437 KIN786437 JYR786437 JOV786437 JEZ786437 IVD786437 ILH786437 IBL786437 HRP786437 HHT786437 GXX786437 GOB786437 GEF786437 FUJ786437 FKN786437 FAR786437 EQV786437 EGZ786437 DXD786437 DNH786437 DDL786437 CTP786437 CJT786437 BZX786437 BQB786437 BGF786437 AWJ786437 AMN786437 ACR786437 SV786437 IZ786437 D786437 WVL720901 WLP720901 WBT720901 VRX720901 VIB720901 UYF720901 UOJ720901 UEN720901 TUR720901 TKV720901 TAZ720901 SRD720901 SHH720901 RXL720901 RNP720901 RDT720901 QTX720901 QKB720901 QAF720901 PQJ720901 PGN720901 OWR720901 OMV720901 OCZ720901 NTD720901 NJH720901 MZL720901 MPP720901 MFT720901 LVX720901 LMB720901 LCF720901 KSJ720901 KIN720901 JYR720901 JOV720901 JEZ720901 IVD720901 ILH720901 IBL720901 HRP720901 HHT720901 GXX720901 GOB720901 GEF720901 FUJ720901 FKN720901 FAR720901 EQV720901 EGZ720901 DXD720901 DNH720901 DDL720901 CTP720901 CJT720901 BZX720901 BQB720901 BGF720901 AWJ720901 AMN720901 ACR720901 SV720901 IZ720901 D720901 WVL655365 WLP655365 WBT655365 VRX655365 VIB655365 UYF655365 UOJ655365 UEN655365 TUR655365 TKV655365 TAZ655365 SRD655365 SHH655365 RXL655365 RNP655365 RDT655365 QTX655365 QKB655365 QAF655365 PQJ655365 PGN655365 OWR655365 OMV655365 OCZ655365 NTD655365 NJH655365 MZL655365 MPP655365 MFT655365 LVX655365 LMB655365 LCF655365 KSJ655365 KIN655365 JYR655365 JOV655365 JEZ655365 IVD655365 ILH655365 IBL655365 HRP655365 HHT655365 GXX655365 GOB655365 GEF655365 FUJ655365 FKN655365 FAR655365 EQV655365 EGZ655365 DXD655365 DNH655365 DDL655365 CTP655365 CJT655365 BZX655365 BQB655365 BGF655365 AWJ655365 AMN655365 ACR655365 SV655365 IZ655365 D655365 WVL589829 WLP589829 WBT589829 VRX589829 VIB589829 UYF589829 UOJ589829 UEN589829 TUR589829 TKV589829 TAZ589829 SRD589829 SHH589829 RXL589829 RNP589829 RDT589829 QTX589829 QKB589829 QAF589829 PQJ589829 PGN589829 OWR589829 OMV589829 OCZ589829 NTD589829 NJH589829 MZL589829 MPP589829 MFT589829 LVX589829 LMB589829 LCF589829 KSJ589829 KIN589829 JYR589829 JOV589829 JEZ589829 IVD589829 ILH589829 IBL589829 HRP589829 HHT589829 GXX589829 GOB589829 GEF589829 FUJ589829 FKN589829 FAR589829 EQV589829 EGZ589829 DXD589829 DNH589829 DDL589829 CTP589829 CJT589829 BZX589829 BQB589829 BGF589829 AWJ589829 AMN589829 ACR589829 SV589829 IZ589829 D589829 WVL524293 WLP524293 WBT524293 VRX524293 VIB524293 UYF524293 UOJ524293 UEN524293 TUR524293 TKV524293 TAZ524293 SRD524293 SHH524293 RXL524293 RNP524293 RDT524293 QTX524293 QKB524293 QAF524293 PQJ524293 PGN524293 OWR524293 OMV524293 OCZ524293 NTD524293 NJH524293 MZL524293 MPP524293 MFT524293 LVX524293 LMB524293 LCF524293 KSJ524293 KIN524293 JYR524293 JOV524293 JEZ524293 IVD524293 ILH524293 IBL524293 HRP524293 HHT524293 GXX524293 GOB524293 GEF524293 FUJ524293 FKN524293 FAR524293 EQV524293 EGZ524293 DXD524293 DNH524293 DDL524293 CTP524293 CJT524293 BZX524293 BQB524293 BGF524293 AWJ524293 AMN524293 ACR524293 SV524293 IZ524293 D524293 WVL458757 WLP458757 WBT458757 VRX458757 VIB458757 UYF458757 UOJ458757 UEN458757 TUR458757 TKV458757 TAZ458757 SRD458757 SHH458757 RXL458757 RNP458757 RDT458757 QTX458757 QKB458757 QAF458757 PQJ458757 PGN458757 OWR458757 OMV458757 OCZ458757 NTD458757 NJH458757 MZL458757 MPP458757 MFT458757 LVX458757 LMB458757 LCF458757 KSJ458757 KIN458757 JYR458757 JOV458757 JEZ458757 IVD458757 ILH458757 IBL458757 HRP458757 HHT458757 GXX458757 GOB458757 GEF458757 FUJ458757 FKN458757 FAR458757 EQV458757 EGZ458757 DXD458757 DNH458757 DDL458757 CTP458757 CJT458757 BZX458757 BQB458757 BGF458757 AWJ458757 AMN458757 ACR458757 SV458757 IZ458757 D458757 WVL393221 WLP393221 WBT393221 VRX393221 VIB393221 UYF393221 UOJ393221 UEN393221 TUR393221 TKV393221 TAZ393221 SRD393221 SHH393221 RXL393221 RNP393221 RDT393221 QTX393221 QKB393221 QAF393221 PQJ393221 PGN393221 OWR393221 OMV393221 OCZ393221 NTD393221 NJH393221 MZL393221 MPP393221 MFT393221 LVX393221 LMB393221 LCF393221 KSJ393221 KIN393221 JYR393221 JOV393221 JEZ393221 IVD393221 ILH393221 IBL393221 HRP393221 HHT393221 GXX393221 GOB393221 GEF393221 FUJ393221 FKN393221 FAR393221 EQV393221 EGZ393221 DXD393221 DNH393221 DDL393221 CTP393221 CJT393221 BZX393221 BQB393221 BGF393221 AWJ393221 AMN393221 ACR393221 SV393221 IZ393221 D393221 WVL327685 WLP327685 WBT327685 VRX327685 VIB327685 UYF327685 UOJ327685 UEN327685 TUR327685 TKV327685 TAZ327685 SRD327685 SHH327685 RXL327685 RNP327685 RDT327685 QTX327685 QKB327685 QAF327685 PQJ327685 PGN327685 OWR327685 OMV327685 OCZ327685 NTD327685 NJH327685 MZL327685 MPP327685 MFT327685 LVX327685 LMB327685 LCF327685 KSJ327685 KIN327685 JYR327685 JOV327685 JEZ327685 IVD327685 ILH327685 IBL327685 HRP327685 HHT327685 GXX327685 GOB327685 GEF327685 FUJ327685 FKN327685 FAR327685 EQV327685 EGZ327685 DXD327685 DNH327685 DDL327685 CTP327685 CJT327685 BZX327685 BQB327685 BGF327685 AWJ327685 AMN327685 ACR327685 SV327685 IZ327685 D327685 WVL262149 WLP262149 WBT262149 VRX262149 VIB262149 UYF262149 UOJ262149 UEN262149 TUR262149 TKV262149 TAZ262149 SRD262149 SHH262149 RXL262149 RNP262149 RDT262149 QTX262149 QKB262149 QAF262149 PQJ262149 PGN262149 OWR262149 OMV262149 OCZ262149 NTD262149 NJH262149 MZL262149 MPP262149 MFT262149 LVX262149 LMB262149 LCF262149 KSJ262149 KIN262149 JYR262149 JOV262149 JEZ262149 IVD262149 ILH262149 IBL262149 HRP262149 HHT262149 GXX262149 GOB262149 GEF262149 FUJ262149 FKN262149 FAR262149 EQV262149 EGZ262149 DXD262149 DNH262149 DDL262149 CTP262149 CJT262149 BZX262149 BQB262149 BGF262149 AWJ262149 AMN262149 ACR262149 SV262149 IZ262149 D262149 WVL196613 WLP196613 WBT196613 VRX196613 VIB196613 UYF196613 UOJ196613 UEN196613 TUR196613 TKV196613 TAZ196613 SRD196613 SHH196613 RXL196613 RNP196613 RDT196613 QTX196613 QKB196613 QAF196613 PQJ196613 PGN196613 OWR196613 OMV196613 OCZ196613 NTD196613 NJH196613 MZL196613 MPP196613 MFT196613 LVX196613 LMB196613 LCF196613 KSJ196613 KIN196613 JYR196613 JOV196613 JEZ196613 IVD196613 ILH196613 IBL196613 HRP196613 HHT196613 GXX196613 GOB196613 GEF196613 FUJ196613 FKN196613 FAR196613 EQV196613 EGZ196613 DXD196613 DNH196613 DDL196613 CTP196613 CJT196613 BZX196613 BQB196613 BGF196613 AWJ196613 AMN196613 ACR196613 SV196613 IZ196613 D196613 WVL131077 WLP131077 WBT131077 VRX131077 VIB131077 UYF131077 UOJ131077 UEN131077 TUR131077 TKV131077 TAZ131077 SRD131077 SHH131077 RXL131077 RNP131077 RDT131077 QTX131077 QKB131077 QAF131077 PQJ131077 PGN131077 OWR131077 OMV131077 OCZ131077 NTD131077 NJH131077 MZL131077 MPP131077 MFT131077 LVX131077 LMB131077 LCF131077 KSJ131077 KIN131077 JYR131077 JOV131077 JEZ131077 IVD131077 ILH131077 IBL131077 HRP131077 HHT131077 GXX131077 GOB131077 GEF131077 FUJ131077 FKN131077 FAR131077 EQV131077 EGZ131077 DXD131077 DNH131077 DDL131077 CTP131077 CJT131077 BZX131077 BQB131077 BGF131077 AWJ131077 AMN131077 ACR131077 SV131077 IZ131077 D131077 WVL65541 WLP65541 WBT65541 VRX65541 VIB65541 UYF65541 UOJ65541 UEN65541 TUR65541 TKV65541 TAZ65541 SRD65541 SHH65541 RXL65541 RNP65541 RDT65541 QTX65541 QKB65541 QAF65541 PQJ65541 PGN65541 OWR65541 OMV65541 OCZ65541 NTD65541 NJH65541 MZL65541 MPP65541 MFT65541 LVX65541 LMB65541 LCF65541 KSJ65541 KIN65541 JYR65541 JOV65541 JEZ65541 IVD65541 ILH65541 IBL65541 HRP65541 HHT65541 GXX65541 GOB65541 GEF65541 FUJ65541 FKN65541 FAR65541 EQV65541 EGZ65541 DXD65541 DNH65541 DDL65541 CTP65541 CJT65541 BZX65541 BQB65541 BGF65541 AWJ65541 AMN65541 ACR65541 SV65541 IZ65541 D65541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IZ5">
      <formula1>"&lt;75,76-150,151-350,&gt;350"</formula1>
      <formula2>0</formula2>
    </dataValidation>
    <dataValidation type="list" operator="equal" allowBlank="1" showErrorMessage="1" sqref="JB4 WVN983044 WLR983044 WBV983044 VRZ983044 VID983044 UYH983044 UOL983044 UEP983044 TUT983044 TKX983044 TBB983044 SRF983044 SHJ983044 RXN983044 RNR983044 RDV983044 QTZ983044 QKD983044 QAH983044 PQL983044 PGP983044 OWT983044 OMX983044 ODB983044 NTF983044 NJJ983044 MZN983044 MPR983044 MFV983044 LVZ983044 LMD983044 LCH983044 KSL983044 KIP983044 JYT983044 JOX983044 JFB983044 IVF983044 ILJ983044 IBN983044 HRR983044 HHV983044 GXZ983044 GOD983044 GEH983044 FUL983044 FKP983044 FAT983044 EQX983044 EHB983044 DXF983044 DNJ983044 DDN983044 CTR983044 CJV983044 BZZ983044 BQD983044 BGH983044 AWL983044 AMP983044 ACT983044 SX983044 JB983044 F983044 WVN917508 WLR917508 WBV917508 VRZ917508 VID917508 UYH917508 UOL917508 UEP917508 TUT917508 TKX917508 TBB917508 SRF917508 SHJ917508 RXN917508 RNR917508 RDV917508 QTZ917508 QKD917508 QAH917508 PQL917508 PGP917508 OWT917508 OMX917508 ODB917508 NTF917508 NJJ917508 MZN917508 MPR917508 MFV917508 LVZ917508 LMD917508 LCH917508 KSL917508 KIP917508 JYT917508 JOX917508 JFB917508 IVF917508 ILJ917508 IBN917508 HRR917508 HHV917508 GXZ917508 GOD917508 GEH917508 FUL917508 FKP917508 FAT917508 EQX917508 EHB917508 DXF917508 DNJ917508 DDN917508 CTR917508 CJV917508 BZZ917508 BQD917508 BGH917508 AWL917508 AMP917508 ACT917508 SX917508 JB917508 F917508 WVN851972 WLR851972 WBV851972 VRZ851972 VID851972 UYH851972 UOL851972 UEP851972 TUT851972 TKX851972 TBB851972 SRF851972 SHJ851972 RXN851972 RNR851972 RDV851972 QTZ851972 QKD851972 QAH851972 PQL851972 PGP851972 OWT851972 OMX851972 ODB851972 NTF851972 NJJ851972 MZN851972 MPR851972 MFV851972 LVZ851972 LMD851972 LCH851972 KSL851972 KIP851972 JYT851972 JOX851972 JFB851972 IVF851972 ILJ851972 IBN851972 HRR851972 HHV851972 GXZ851972 GOD851972 GEH851972 FUL851972 FKP851972 FAT851972 EQX851972 EHB851972 DXF851972 DNJ851972 DDN851972 CTR851972 CJV851972 BZZ851972 BQD851972 BGH851972 AWL851972 AMP851972 ACT851972 SX851972 JB851972 F851972 WVN786436 WLR786436 WBV786436 VRZ786436 VID786436 UYH786436 UOL786436 UEP786436 TUT786436 TKX786436 TBB786436 SRF786436 SHJ786436 RXN786436 RNR786436 RDV786436 QTZ786436 QKD786436 QAH786436 PQL786436 PGP786436 OWT786436 OMX786436 ODB786436 NTF786436 NJJ786436 MZN786436 MPR786436 MFV786436 LVZ786436 LMD786436 LCH786436 KSL786436 KIP786436 JYT786436 JOX786436 JFB786436 IVF786436 ILJ786436 IBN786436 HRR786436 HHV786436 GXZ786436 GOD786436 GEH786436 FUL786436 FKP786436 FAT786436 EQX786436 EHB786436 DXF786436 DNJ786436 DDN786436 CTR786436 CJV786436 BZZ786436 BQD786436 BGH786436 AWL786436 AMP786436 ACT786436 SX786436 JB786436 F786436 WVN720900 WLR720900 WBV720900 VRZ720900 VID720900 UYH720900 UOL720900 UEP720900 TUT720900 TKX720900 TBB720900 SRF720900 SHJ720900 RXN720900 RNR720900 RDV720900 QTZ720900 QKD720900 QAH720900 PQL720900 PGP720900 OWT720900 OMX720900 ODB720900 NTF720900 NJJ720900 MZN720900 MPR720900 MFV720900 LVZ720900 LMD720900 LCH720900 KSL720900 KIP720900 JYT720900 JOX720900 JFB720900 IVF720900 ILJ720900 IBN720900 HRR720900 HHV720900 GXZ720900 GOD720900 GEH720900 FUL720900 FKP720900 FAT720900 EQX720900 EHB720900 DXF720900 DNJ720900 DDN720900 CTR720900 CJV720900 BZZ720900 BQD720900 BGH720900 AWL720900 AMP720900 ACT720900 SX720900 JB720900 F720900 WVN655364 WLR655364 WBV655364 VRZ655364 VID655364 UYH655364 UOL655364 UEP655364 TUT655364 TKX655364 TBB655364 SRF655364 SHJ655364 RXN655364 RNR655364 RDV655364 QTZ655364 QKD655364 QAH655364 PQL655364 PGP655364 OWT655364 OMX655364 ODB655364 NTF655364 NJJ655364 MZN655364 MPR655364 MFV655364 LVZ655364 LMD655364 LCH655364 KSL655364 KIP655364 JYT655364 JOX655364 JFB655364 IVF655364 ILJ655364 IBN655364 HRR655364 HHV655364 GXZ655364 GOD655364 GEH655364 FUL655364 FKP655364 FAT655364 EQX655364 EHB655364 DXF655364 DNJ655364 DDN655364 CTR655364 CJV655364 BZZ655364 BQD655364 BGH655364 AWL655364 AMP655364 ACT655364 SX655364 JB655364 F655364 WVN589828 WLR589828 WBV589828 VRZ589828 VID589828 UYH589828 UOL589828 UEP589828 TUT589828 TKX589828 TBB589828 SRF589828 SHJ589828 RXN589828 RNR589828 RDV589828 QTZ589828 QKD589828 QAH589828 PQL589828 PGP589828 OWT589828 OMX589828 ODB589828 NTF589828 NJJ589828 MZN589828 MPR589828 MFV589828 LVZ589828 LMD589828 LCH589828 KSL589828 KIP589828 JYT589828 JOX589828 JFB589828 IVF589828 ILJ589828 IBN589828 HRR589828 HHV589828 GXZ589828 GOD589828 GEH589828 FUL589828 FKP589828 FAT589828 EQX589828 EHB589828 DXF589828 DNJ589828 DDN589828 CTR589828 CJV589828 BZZ589828 BQD589828 BGH589828 AWL589828 AMP589828 ACT589828 SX589828 JB589828 F589828 WVN524292 WLR524292 WBV524292 VRZ524292 VID524292 UYH524292 UOL524292 UEP524292 TUT524292 TKX524292 TBB524292 SRF524292 SHJ524292 RXN524292 RNR524292 RDV524292 QTZ524292 QKD524292 QAH524292 PQL524292 PGP524292 OWT524292 OMX524292 ODB524292 NTF524292 NJJ524292 MZN524292 MPR524292 MFV524292 LVZ524292 LMD524292 LCH524292 KSL524292 KIP524292 JYT524292 JOX524292 JFB524292 IVF524292 ILJ524292 IBN524292 HRR524292 HHV524292 GXZ524292 GOD524292 GEH524292 FUL524292 FKP524292 FAT524292 EQX524292 EHB524292 DXF524292 DNJ524292 DDN524292 CTR524292 CJV524292 BZZ524292 BQD524292 BGH524292 AWL524292 AMP524292 ACT524292 SX524292 JB524292 F524292 WVN458756 WLR458756 WBV458756 VRZ458756 VID458756 UYH458756 UOL458756 UEP458756 TUT458756 TKX458756 TBB458756 SRF458756 SHJ458756 RXN458756 RNR458756 RDV458756 QTZ458756 QKD458756 QAH458756 PQL458756 PGP458756 OWT458756 OMX458756 ODB458756 NTF458756 NJJ458756 MZN458756 MPR458756 MFV458756 LVZ458756 LMD458756 LCH458756 KSL458756 KIP458756 JYT458756 JOX458756 JFB458756 IVF458756 ILJ458756 IBN458756 HRR458756 HHV458756 GXZ458756 GOD458756 GEH458756 FUL458756 FKP458756 FAT458756 EQX458756 EHB458756 DXF458756 DNJ458756 DDN458756 CTR458756 CJV458756 BZZ458756 BQD458756 BGH458756 AWL458756 AMP458756 ACT458756 SX458756 JB458756 F458756 WVN393220 WLR393220 WBV393220 VRZ393220 VID393220 UYH393220 UOL393220 UEP393220 TUT393220 TKX393220 TBB393220 SRF393220 SHJ393220 RXN393220 RNR393220 RDV393220 QTZ393220 QKD393220 QAH393220 PQL393220 PGP393220 OWT393220 OMX393220 ODB393220 NTF393220 NJJ393220 MZN393220 MPR393220 MFV393220 LVZ393220 LMD393220 LCH393220 KSL393220 KIP393220 JYT393220 JOX393220 JFB393220 IVF393220 ILJ393220 IBN393220 HRR393220 HHV393220 GXZ393220 GOD393220 GEH393220 FUL393220 FKP393220 FAT393220 EQX393220 EHB393220 DXF393220 DNJ393220 DDN393220 CTR393220 CJV393220 BZZ393220 BQD393220 BGH393220 AWL393220 AMP393220 ACT393220 SX393220 JB393220 F393220 WVN327684 WLR327684 WBV327684 VRZ327684 VID327684 UYH327684 UOL327684 UEP327684 TUT327684 TKX327684 TBB327684 SRF327684 SHJ327684 RXN327684 RNR327684 RDV327684 QTZ327684 QKD327684 QAH327684 PQL327684 PGP327684 OWT327684 OMX327684 ODB327684 NTF327684 NJJ327684 MZN327684 MPR327684 MFV327684 LVZ327684 LMD327684 LCH327684 KSL327684 KIP327684 JYT327684 JOX327684 JFB327684 IVF327684 ILJ327684 IBN327684 HRR327684 HHV327684 GXZ327684 GOD327684 GEH327684 FUL327684 FKP327684 FAT327684 EQX327684 EHB327684 DXF327684 DNJ327684 DDN327684 CTR327684 CJV327684 BZZ327684 BQD327684 BGH327684 AWL327684 AMP327684 ACT327684 SX327684 JB327684 F327684 WVN262148 WLR262148 WBV262148 VRZ262148 VID262148 UYH262148 UOL262148 UEP262148 TUT262148 TKX262148 TBB262148 SRF262148 SHJ262148 RXN262148 RNR262148 RDV262148 QTZ262148 QKD262148 QAH262148 PQL262148 PGP262148 OWT262148 OMX262148 ODB262148 NTF262148 NJJ262148 MZN262148 MPR262148 MFV262148 LVZ262148 LMD262148 LCH262148 KSL262148 KIP262148 JYT262148 JOX262148 JFB262148 IVF262148 ILJ262148 IBN262148 HRR262148 HHV262148 GXZ262148 GOD262148 GEH262148 FUL262148 FKP262148 FAT262148 EQX262148 EHB262148 DXF262148 DNJ262148 DDN262148 CTR262148 CJV262148 BZZ262148 BQD262148 BGH262148 AWL262148 AMP262148 ACT262148 SX262148 JB262148 F262148 WVN196612 WLR196612 WBV196612 VRZ196612 VID196612 UYH196612 UOL196612 UEP196612 TUT196612 TKX196612 TBB196612 SRF196612 SHJ196612 RXN196612 RNR196612 RDV196612 QTZ196612 QKD196612 QAH196612 PQL196612 PGP196612 OWT196612 OMX196612 ODB196612 NTF196612 NJJ196612 MZN196612 MPR196612 MFV196612 LVZ196612 LMD196612 LCH196612 KSL196612 KIP196612 JYT196612 JOX196612 JFB196612 IVF196612 ILJ196612 IBN196612 HRR196612 HHV196612 GXZ196612 GOD196612 GEH196612 FUL196612 FKP196612 FAT196612 EQX196612 EHB196612 DXF196612 DNJ196612 DDN196612 CTR196612 CJV196612 BZZ196612 BQD196612 BGH196612 AWL196612 AMP196612 ACT196612 SX196612 JB196612 F196612 WVN131076 WLR131076 WBV131076 VRZ131076 VID131076 UYH131076 UOL131076 UEP131076 TUT131076 TKX131076 TBB131076 SRF131076 SHJ131076 RXN131076 RNR131076 RDV131076 QTZ131076 QKD131076 QAH131076 PQL131076 PGP131076 OWT131076 OMX131076 ODB131076 NTF131076 NJJ131076 MZN131076 MPR131076 MFV131076 LVZ131076 LMD131076 LCH131076 KSL131076 KIP131076 JYT131076 JOX131076 JFB131076 IVF131076 ILJ131076 IBN131076 HRR131076 HHV131076 GXZ131076 GOD131076 GEH131076 FUL131076 FKP131076 FAT131076 EQX131076 EHB131076 DXF131076 DNJ131076 DDN131076 CTR131076 CJV131076 BZZ131076 BQD131076 BGH131076 AWL131076 AMP131076 ACT131076 SX131076 JB131076 F131076 WVN65540 WLR65540 WBV65540 VRZ65540 VID65540 UYH65540 UOL65540 UEP65540 TUT65540 TKX65540 TBB65540 SRF65540 SHJ65540 RXN65540 RNR65540 RDV65540 QTZ65540 QKD65540 QAH65540 PQL65540 PGP65540 OWT65540 OMX65540 ODB65540 NTF65540 NJJ65540 MZN65540 MPR65540 MFV65540 LVZ65540 LMD65540 LCH65540 KSL65540 KIP65540 JYT65540 JOX65540 JFB65540 IVF65540 ILJ65540 IBN65540 HRR65540 HHV65540 GXZ65540 GOD65540 GEH65540 FUL65540 FKP65540 FAT65540 EQX65540 EHB65540 DXF65540 DNJ65540 DDN65540 CTR65540 CJV65540 BZZ65540 BQD65540 BGH65540 AWL65540 AMP65540 ACT65540 SX65540 JB65540 F65540 WVN4 WLR4 WBV4 VRZ4 VID4 UYH4 UOL4 UEP4 TUT4 TKX4 TBB4 SRF4 SHJ4 RXN4 RNR4 RDV4 QTZ4 QKD4 QAH4 PQL4 PGP4 OWT4 OMX4 ODB4 NTF4 NJJ4 MZN4 MPR4 MFV4 LVZ4 LMD4 LCH4 KSL4 KIP4 JYT4 JOX4 JFB4 IVF4 ILJ4 IBN4 HRR4 HHV4 GXZ4 GOD4 GEH4 FUL4 FKP4 FAT4 EQX4 EHB4 DXF4 DNJ4 DDN4 CTR4 CJV4 BZZ4 BQD4 BGH4 AWL4 AMP4 ACT4 SX4">
      <formula1>#N/A</formula1>
      <formula2>0</formula2>
    </dataValidation>
    <dataValidation operator="equal" allowBlank="1" showErrorMessage="1" sqref="D4 WVJ983045 WLN983045 WBR983045 VRV983045 VHZ983045 UYD983045 UOH983045 UEL983045 TUP983045 TKT983045 TAX983045 SRB983045 SHF983045 RXJ983045 RNN983045 RDR983045 QTV983045 QJZ983045 QAD983045 PQH983045 PGL983045 OWP983045 OMT983045 OCX983045 NTB983045 NJF983045 MZJ983045 MPN983045 MFR983045 LVV983045 LLZ983045 LCD983045 KSH983045 KIL983045 JYP983045 JOT983045 JEX983045 IVB983045 ILF983045 IBJ983045 HRN983045 HHR983045 GXV983045 GNZ983045 GED983045 FUH983045 FKL983045 FAP983045 EQT983045 EGX983045 DXB983045 DNF983045 DDJ983045 CTN983045 CJR983045 BZV983045 BPZ983045 BGD983045 AWH983045 AML983045 ACP983045 ST983045 IX983045 B983045 WVJ917509 WLN917509 WBR917509 VRV917509 VHZ917509 UYD917509 UOH917509 UEL917509 TUP917509 TKT917509 TAX917509 SRB917509 SHF917509 RXJ917509 RNN917509 RDR917509 QTV917509 QJZ917509 QAD917509 PQH917509 PGL917509 OWP917509 OMT917509 OCX917509 NTB917509 NJF917509 MZJ917509 MPN917509 MFR917509 LVV917509 LLZ917509 LCD917509 KSH917509 KIL917509 JYP917509 JOT917509 JEX917509 IVB917509 ILF917509 IBJ917509 HRN917509 HHR917509 GXV917509 GNZ917509 GED917509 FUH917509 FKL917509 FAP917509 EQT917509 EGX917509 DXB917509 DNF917509 DDJ917509 CTN917509 CJR917509 BZV917509 BPZ917509 BGD917509 AWH917509 AML917509 ACP917509 ST917509 IX917509 B917509 WVJ851973 WLN851973 WBR851973 VRV851973 VHZ851973 UYD851973 UOH851973 UEL851973 TUP851973 TKT851973 TAX851973 SRB851973 SHF851973 RXJ851973 RNN851973 RDR851973 QTV851973 QJZ851973 QAD851973 PQH851973 PGL851973 OWP851973 OMT851973 OCX851973 NTB851973 NJF851973 MZJ851973 MPN851973 MFR851973 LVV851973 LLZ851973 LCD851973 KSH851973 KIL851973 JYP851973 JOT851973 JEX851973 IVB851973 ILF851973 IBJ851973 HRN851973 HHR851973 GXV851973 GNZ851973 GED851973 FUH851973 FKL851973 FAP851973 EQT851973 EGX851973 DXB851973 DNF851973 DDJ851973 CTN851973 CJR851973 BZV851973 BPZ851973 BGD851973 AWH851973 AML851973 ACP851973 ST851973 IX851973 B851973 WVJ786437 WLN786437 WBR786437 VRV786437 VHZ786437 UYD786437 UOH786437 UEL786437 TUP786437 TKT786437 TAX786437 SRB786437 SHF786437 RXJ786437 RNN786437 RDR786437 QTV786437 QJZ786437 QAD786437 PQH786437 PGL786437 OWP786437 OMT786437 OCX786437 NTB786437 NJF786437 MZJ786437 MPN786437 MFR786437 LVV786437 LLZ786437 LCD786437 KSH786437 KIL786437 JYP786437 JOT786437 JEX786437 IVB786437 ILF786437 IBJ786437 HRN786437 HHR786437 GXV786437 GNZ786437 GED786437 FUH786437 FKL786437 FAP786437 EQT786437 EGX786437 DXB786437 DNF786437 DDJ786437 CTN786437 CJR786437 BZV786437 BPZ786437 BGD786437 AWH786437 AML786437 ACP786437 ST786437 IX786437 B786437 WVJ720901 WLN720901 WBR720901 VRV720901 VHZ720901 UYD720901 UOH720901 UEL720901 TUP720901 TKT720901 TAX720901 SRB720901 SHF720901 RXJ720901 RNN720901 RDR720901 QTV720901 QJZ720901 QAD720901 PQH720901 PGL720901 OWP720901 OMT720901 OCX720901 NTB720901 NJF720901 MZJ720901 MPN720901 MFR720901 LVV720901 LLZ720901 LCD720901 KSH720901 KIL720901 JYP720901 JOT720901 JEX720901 IVB720901 ILF720901 IBJ720901 HRN720901 HHR720901 GXV720901 GNZ720901 GED720901 FUH720901 FKL720901 FAP720901 EQT720901 EGX720901 DXB720901 DNF720901 DDJ720901 CTN720901 CJR720901 BZV720901 BPZ720901 BGD720901 AWH720901 AML720901 ACP720901 ST720901 IX720901 B720901 WVJ655365 WLN655365 WBR655365 VRV655365 VHZ655365 UYD655365 UOH655365 UEL655365 TUP655365 TKT655365 TAX655365 SRB655365 SHF655365 RXJ655365 RNN655365 RDR655365 QTV655365 QJZ655365 QAD655365 PQH655365 PGL655365 OWP655365 OMT655365 OCX655365 NTB655365 NJF655365 MZJ655365 MPN655365 MFR655365 LVV655365 LLZ655365 LCD655365 KSH655365 KIL655365 JYP655365 JOT655365 JEX655365 IVB655365 ILF655365 IBJ655365 HRN655365 HHR655365 GXV655365 GNZ655365 GED655365 FUH655365 FKL655365 FAP655365 EQT655365 EGX655365 DXB655365 DNF655365 DDJ655365 CTN655365 CJR655365 BZV655365 BPZ655365 BGD655365 AWH655365 AML655365 ACP655365 ST655365 IX655365 B655365 WVJ589829 WLN589829 WBR589829 VRV589829 VHZ589829 UYD589829 UOH589829 UEL589829 TUP589829 TKT589829 TAX589829 SRB589829 SHF589829 RXJ589829 RNN589829 RDR589829 QTV589829 QJZ589829 QAD589829 PQH589829 PGL589829 OWP589829 OMT589829 OCX589829 NTB589829 NJF589829 MZJ589829 MPN589829 MFR589829 LVV589829 LLZ589829 LCD589829 KSH589829 KIL589829 JYP589829 JOT589829 JEX589829 IVB589829 ILF589829 IBJ589829 HRN589829 HHR589829 GXV589829 GNZ589829 GED589829 FUH589829 FKL589829 FAP589829 EQT589829 EGX589829 DXB589829 DNF589829 DDJ589829 CTN589829 CJR589829 BZV589829 BPZ589829 BGD589829 AWH589829 AML589829 ACP589829 ST589829 IX589829 B589829 WVJ524293 WLN524293 WBR524293 VRV524293 VHZ524293 UYD524293 UOH524293 UEL524293 TUP524293 TKT524293 TAX524293 SRB524293 SHF524293 RXJ524293 RNN524293 RDR524293 QTV524293 QJZ524293 QAD524293 PQH524293 PGL524293 OWP524293 OMT524293 OCX524293 NTB524293 NJF524293 MZJ524293 MPN524293 MFR524293 LVV524293 LLZ524293 LCD524293 KSH524293 KIL524293 JYP524293 JOT524293 JEX524293 IVB524293 ILF524293 IBJ524293 HRN524293 HHR524293 GXV524293 GNZ524293 GED524293 FUH524293 FKL524293 FAP524293 EQT524293 EGX524293 DXB524293 DNF524293 DDJ524293 CTN524293 CJR524293 BZV524293 BPZ524293 BGD524293 AWH524293 AML524293 ACP524293 ST524293 IX524293 B524293 WVJ458757 WLN458757 WBR458757 VRV458757 VHZ458757 UYD458757 UOH458757 UEL458757 TUP458757 TKT458757 TAX458757 SRB458757 SHF458757 RXJ458757 RNN458757 RDR458757 QTV458757 QJZ458757 QAD458757 PQH458757 PGL458757 OWP458757 OMT458757 OCX458757 NTB458757 NJF458757 MZJ458757 MPN458757 MFR458757 LVV458757 LLZ458757 LCD458757 KSH458757 KIL458757 JYP458757 JOT458757 JEX458757 IVB458757 ILF458757 IBJ458757 HRN458757 HHR458757 GXV458757 GNZ458757 GED458757 FUH458757 FKL458757 FAP458757 EQT458757 EGX458757 DXB458757 DNF458757 DDJ458757 CTN458757 CJR458757 BZV458757 BPZ458757 BGD458757 AWH458757 AML458757 ACP458757 ST458757 IX458757 B458757 WVJ393221 WLN393221 WBR393221 VRV393221 VHZ393221 UYD393221 UOH393221 UEL393221 TUP393221 TKT393221 TAX393221 SRB393221 SHF393221 RXJ393221 RNN393221 RDR393221 QTV393221 QJZ393221 QAD393221 PQH393221 PGL393221 OWP393221 OMT393221 OCX393221 NTB393221 NJF393221 MZJ393221 MPN393221 MFR393221 LVV393221 LLZ393221 LCD393221 KSH393221 KIL393221 JYP393221 JOT393221 JEX393221 IVB393221 ILF393221 IBJ393221 HRN393221 HHR393221 GXV393221 GNZ393221 GED393221 FUH393221 FKL393221 FAP393221 EQT393221 EGX393221 DXB393221 DNF393221 DDJ393221 CTN393221 CJR393221 BZV393221 BPZ393221 BGD393221 AWH393221 AML393221 ACP393221 ST393221 IX393221 B393221 WVJ327685 WLN327685 WBR327685 VRV327685 VHZ327685 UYD327685 UOH327685 UEL327685 TUP327685 TKT327685 TAX327685 SRB327685 SHF327685 RXJ327685 RNN327685 RDR327685 QTV327685 QJZ327685 QAD327685 PQH327685 PGL327685 OWP327685 OMT327685 OCX327685 NTB327685 NJF327685 MZJ327685 MPN327685 MFR327685 LVV327685 LLZ327685 LCD327685 KSH327685 KIL327685 JYP327685 JOT327685 JEX327685 IVB327685 ILF327685 IBJ327685 HRN327685 HHR327685 GXV327685 GNZ327685 GED327685 FUH327685 FKL327685 FAP327685 EQT327685 EGX327685 DXB327685 DNF327685 DDJ327685 CTN327685 CJR327685 BZV327685 BPZ327685 BGD327685 AWH327685 AML327685 ACP327685 ST327685 IX327685 B327685 WVJ262149 WLN262149 WBR262149 VRV262149 VHZ262149 UYD262149 UOH262149 UEL262149 TUP262149 TKT262149 TAX262149 SRB262149 SHF262149 RXJ262149 RNN262149 RDR262149 QTV262149 QJZ262149 QAD262149 PQH262149 PGL262149 OWP262149 OMT262149 OCX262149 NTB262149 NJF262149 MZJ262149 MPN262149 MFR262149 LVV262149 LLZ262149 LCD262149 KSH262149 KIL262149 JYP262149 JOT262149 JEX262149 IVB262149 ILF262149 IBJ262149 HRN262149 HHR262149 GXV262149 GNZ262149 GED262149 FUH262149 FKL262149 FAP262149 EQT262149 EGX262149 DXB262149 DNF262149 DDJ262149 CTN262149 CJR262149 BZV262149 BPZ262149 BGD262149 AWH262149 AML262149 ACP262149 ST262149 IX262149 B262149 WVJ196613 WLN196613 WBR196613 VRV196613 VHZ196613 UYD196613 UOH196613 UEL196613 TUP196613 TKT196613 TAX196613 SRB196613 SHF196613 RXJ196613 RNN196613 RDR196613 QTV196613 QJZ196613 QAD196613 PQH196613 PGL196613 OWP196613 OMT196613 OCX196613 NTB196613 NJF196613 MZJ196613 MPN196613 MFR196613 LVV196613 LLZ196613 LCD196613 KSH196613 KIL196613 JYP196613 JOT196613 JEX196613 IVB196613 ILF196613 IBJ196613 HRN196613 HHR196613 GXV196613 GNZ196613 GED196613 FUH196613 FKL196613 FAP196613 EQT196613 EGX196613 DXB196613 DNF196613 DDJ196613 CTN196613 CJR196613 BZV196613 BPZ196613 BGD196613 AWH196613 AML196613 ACP196613 ST196613 IX196613 B196613 WVJ131077 WLN131077 WBR131077 VRV131077 VHZ131077 UYD131077 UOH131077 UEL131077 TUP131077 TKT131077 TAX131077 SRB131077 SHF131077 RXJ131077 RNN131077 RDR131077 QTV131077 QJZ131077 QAD131077 PQH131077 PGL131077 OWP131077 OMT131077 OCX131077 NTB131077 NJF131077 MZJ131077 MPN131077 MFR131077 LVV131077 LLZ131077 LCD131077 KSH131077 KIL131077 JYP131077 JOT131077 JEX131077 IVB131077 ILF131077 IBJ131077 HRN131077 HHR131077 GXV131077 GNZ131077 GED131077 FUH131077 FKL131077 FAP131077 EQT131077 EGX131077 DXB131077 DNF131077 DDJ131077 CTN131077 CJR131077 BZV131077 BPZ131077 BGD131077 AWH131077 AML131077 ACP131077 ST131077 IX131077 B131077 WVJ65541 WLN65541 WBR65541 VRV65541 VHZ65541 UYD65541 UOH65541 UEL65541 TUP65541 TKT65541 TAX65541 SRB65541 SHF65541 RXJ65541 RNN65541 RDR65541 QTV65541 QJZ65541 QAD65541 PQH65541 PGL65541 OWP65541 OMT65541 OCX65541 NTB65541 NJF65541 MZJ65541 MPN65541 MFR65541 LVV65541 LLZ65541 LCD65541 KSH65541 KIL65541 JYP65541 JOT65541 JEX65541 IVB65541 ILF65541 IBJ65541 HRN65541 HHR65541 GXV65541 GNZ65541 GED65541 FUH65541 FKL65541 FAP65541 EQT65541 EGX65541 DXB65541 DNF65541 DDJ65541 CTN65541 CJR65541 BZV65541 BPZ65541 BGD65541 AWH65541 AML65541 ACP65541 ST65541 IX65541 B65541 WVJ5 WLN5 WBR5 VRV5 VHZ5 UYD5 UOH5 UEL5 TUP5 TKT5 TAX5 SRB5 SHF5 RXJ5 RNN5 RDR5 QTV5 QJZ5 QAD5 PQH5 PGL5 OWP5 OMT5 OCX5 NTB5 NJF5 MZJ5 MPN5 MFR5 LVV5 LLZ5 LCD5 KSH5 KIL5 JYP5 JOT5 JEX5 IVB5 ILF5 IBJ5 HRN5 HHR5 GXV5 GNZ5 GED5 FUH5 FKL5 FAP5 EQT5 EGX5 DXB5 DNF5 DDJ5 CTN5 CJR5 BZV5 BPZ5 BGD5 AWH5 AML5 ACP5 ST5 IX5 B5 WVL983044 WLP983044 WBT983044 VRX983044 VIB983044 UYF983044 UOJ983044 UEN983044 TUR983044 TKV983044 TAZ983044 SRD983044 SHH983044 RXL983044 RNP983044 RDT983044 QTX983044 QKB983044 QAF983044 PQJ983044 PGN983044 OWR983044 OMV983044 OCZ983044 NTD983044 NJH983044 MZL983044 MPP983044 MFT983044 LVX983044 LMB983044 LCF983044 KSJ983044 KIN983044 JYR983044 JOV983044 JEZ983044 IVD983044 ILH983044 IBL983044 HRP983044 HHT983044 GXX983044 GOB983044 GEF983044 FUJ983044 FKN983044 FAR983044 EQV983044 EGZ983044 DXD983044 DNH983044 DDL983044 CTP983044 CJT983044 BZX983044 BQB983044 BGF983044 AWJ983044 AMN983044 ACR983044 SV983044 IZ983044 D983044 WVL917508 WLP917508 WBT917508 VRX917508 VIB917508 UYF917508 UOJ917508 UEN917508 TUR917508 TKV917508 TAZ917508 SRD917508 SHH917508 RXL917508 RNP917508 RDT917508 QTX917508 QKB917508 QAF917508 PQJ917508 PGN917508 OWR917508 OMV917508 OCZ917508 NTD917508 NJH917508 MZL917508 MPP917508 MFT917508 LVX917508 LMB917508 LCF917508 KSJ917508 KIN917508 JYR917508 JOV917508 JEZ917508 IVD917508 ILH917508 IBL917508 HRP917508 HHT917508 GXX917508 GOB917508 GEF917508 FUJ917508 FKN917508 FAR917508 EQV917508 EGZ917508 DXD917508 DNH917508 DDL917508 CTP917508 CJT917508 BZX917508 BQB917508 BGF917508 AWJ917508 AMN917508 ACR917508 SV917508 IZ917508 D917508 WVL851972 WLP851972 WBT851972 VRX851972 VIB851972 UYF851972 UOJ851972 UEN851972 TUR851972 TKV851972 TAZ851972 SRD851972 SHH851972 RXL851972 RNP851972 RDT851972 QTX851972 QKB851972 QAF851972 PQJ851972 PGN851972 OWR851972 OMV851972 OCZ851972 NTD851972 NJH851972 MZL851972 MPP851972 MFT851972 LVX851972 LMB851972 LCF851972 KSJ851972 KIN851972 JYR851972 JOV851972 JEZ851972 IVD851972 ILH851972 IBL851972 HRP851972 HHT851972 GXX851972 GOB851972 GEF851972 FUJ851972 FKN851972 FAR851972 EQV851972 EGZ851972 DXD851972 DNH851972 DDL851972 CTP851972 CJT851972 BZX851972 BQB851972 BGF851972 AWJ851972 AMN851972 ACR851972 SV851972 IZ851972 D851972 WVL786436 WLP786436 WBT786436 VRX786436 VIB786436 UYF786436 UOJ786436 UEN786436 TUR786436 TKV786436 TAZ786436 SRD786436 SHH786436 RXL786436 RNP786436 RDT786436 QTX786436 QKB786436 QAF786436 PQJ786436 PGN786436 OWR786436 OMV786436 OCZ786436 NTD786436 NJH786436 MZL786436 MPP786436 MFT786436 LVX786436 LMB786436 LCF786436 KSJ786436 KIN786436 JYR786436 JOV786436 JEZ786436 IVD786436 ILH786436 IBL786436 HRP786436 HHT786436 GXX786436 GOB786436 GEF786436 FUJ786436 FKN786436 FAR786436 EQV786436 EGZ786436 DXD786436 DNH786436 DDL786436 CTP786436 CJT786436 BZX786436 BQB786436 BGF786436 AWJ786436 AMN786436 ACR786436 SV786436 IZ786436 D786436 WVL720900 WLP720900 WBT720900 VRX720900 VIB720900 UYF720900 UOJ720900 UEN720900 TUR720900 TKV720900 TAZ720900 SRD720900 SHH720900 RXL720900 RNP720900 RDT720900 QTX720900 QKB720900 QAF720900 PQJ720900 PGN720900 OWR720900 OMV720900 OCZ720900 NTD720900 NJH720900 MZL720900 MPP720900 MFT720900 LVX720900 LMB720900 LCF720900 KSJ720900 KIN720900 JYR720900 JOV720900 JEZ720900 IVD720900 ILH720900 IBL720900 HRP720900 HHT720900 GXX720900 GOB720900 GEF720900 FUJ720900 FKN720900 FAR720900 EQV720900 EGZ720900 DXD720900 DNH720900 DDL720900 CTP720900 CJT720900 BZX720900 BQB720900 BGF720900 AWJ720900 AMN720900 ACR720900 SV720900 IZ720900 D720900 WVL655364 WLP655364 WBT655364 VRX655364 VIB655364 UYF655364 UOJ655364 UEN655364 TUR655364 TKV655364 TAZ655364 SRD655364 SHH655364 RXL655364 RNP655364 RDT655364 QTX655364 QKB655364 QAF655364 PQJ655364 PGN655364 OWR655364 OMV655364 OCZ655364 NTD655364 NJH655364 MZL655364 MPP655364 MFT655364 LVX655364 LMB655364 LCF655364 KSJ655364 KIN655364 JYR655364 JOV655364 JEZ655364 IVD655364 ILH655364 IBL655364 HRP655364 HHT655364 GXX655364 GOB655364 GEF655364 FUJ655364 FKN655364 FAR655364 EQV655364 EGZ655364 DXD655364 DNH655364 DDL655364 CTP655364 CJT655364 BZX655364 BQB655364 BGF655364 AWJ655364 AMN655364 ACR655364 SV655364 IZ655364 D655364 WVL589828 WLP589828 WBT589828 VRX589828 VIB589828 UYF589828 UOJ589828 UEN589828 TUR589828 TKV589828 TAZ589828 SRD589828 SHH589828 RXL589828 RNP589828 RDT589828 QTX589828 QKB589828 QAF589828 PQJ589828 PGN589828 OWR589828 OMV589828 OCZ589828 NTD589828 NJH589828 MZL589828 MPP589828 MFT589828 LVX589828 LMB589828 LCF589828 KSJ589828 KIN589828 JYR589828 JOV589828 JEZ589828 IVD589828 ILH589828 IBL589828 HRP589828 HHT589828 GXX589828 GOB589828 GEF589828 FUJ589828 FKN589828 FAR589828 EQV589828 EGZ589828 DXD589828 DNH589828 DDL589828 CTP589828 CJT589828 BZX589828 BQB589828 BGF589828 AWJ589828 AMN589828 ACR589828 SV589828 IZ589828 D589828 WVL524292 WLP524292 WBT524292 VRX524292 VIB524292 UYF524292 UOJ524292 UEN524292 TUR524292 TKV524292 TAZ524292 SRD524292 SHH524292 RXL524292 RNP524292 RDT524292 QTX524292 QKB524292 QAF524292 PQJ524292 PGN524292 OWR524292 OMV524292 OCZ524292 NTD524292 NJH524292 MZL524292 MPP524292 MFT524292 LVX524292 LMB524292 LCF524292 KSJ524292 KIN524292 JYR524292 JOV524292 JEZ524292 IVD524292 ILH524292 IBL524292 HRP524292 HHT524292 GXX524292 GOB524292 GEF524292 FUJ524292 FKN524292 FAR524292 EQV524292 EGZ524292 DXD524292 DNH524292 DDL524292 CTP524292 CJT524292 BZX524292 BQB524292 BGF524292 AWJ524292 AMN524292 ACR524292 SV524292 IZ524292 D524292 WVL458756 WLP458756 WBT458756 VRX458756 VIB458756 UYF458756 UOJ458756 UEN458756 TUR458756 TKV458756 TAZ458756 SRD458756 SHH458756 RXL458756 RNP458756 RDT458756 QTX458756 QKB458756 QAF458756 PQJ458756 PGN458756 OWR458756 OMV458756 OCZ458756 NTD458756 NJH458756 MZL458756 MPP458756 MFT458756 LVX458756 LMB458756 LCF458756 KSJ458756 KIN458756 JYR458756 JOV458756 JEZ458756 IVD458756 ILH458756 IBL458756 HRP458756 HHT458756 GXX458756 GOB458756 GEF458756 FUJ458756 FKN458756 FAR458756 EQV458756 EGZ458756 DXD458756 DNH458756 DDL458756 CTP458756 CJT458756 BZX458756 BQB458756 BGF458756 AWJ458756 AMN458756 ACR458756 SV458756 IZ458756 D458756 WVL393220 WLP393220 WBT393220 VRX393220 VIB393220 UYF393220 UOJ393220 UEN393220 TUR393220 TKV393220 TAZ393220 SRD393220 SHH393220 RXL393220 RNP393220 RDT393220 QTX393220 QKB393220 QAF393220 PQJ393220 PGN393220 OWR393220 OMV393220 OCZ393220 NTD393220 NJH393220 MZL393220 MPP393220 MFT393220 LVX393220 LMB393220 LCF393220 KSJ393220 KIN393220 JYR393220 JOV393220 JEZ393220 IVD393220 ILH393220 IBL393220 HRP393220 HHT393220 GXX393220 GOB393220 GEF393220 FUJ393220 FKN393220 FAR393220 EQV393220 EGZ393220 DXD393220 DNH393220 DDL393220 CTP393220 CJT393220 BZX393220 BQB393220 BGF393220 AWJ393220 AMN393220 ACR393220 SV393220 IZ393220 D393220 WVL327684 WLP327684 WBT327684 VRX327684 VIB327684 UYF327684 UOJ327684 UEN327684 TUR327684 TKV327684 TAZ327684 SRD327684 SHH327684 RXL327684 RNP327684 RDT327684 QTX327684 QKB327684 QAF327684 PQJ327684 PGN327684 OWR327684 OMV327684 OCZ327684 NTD327684 NJH327684 MZL327684 MPP327684 MFT327684 LVX327684 LMB327684 LCF327684 KSJ327684 KIN327684 JYR327684 JOV327684 JEZ327684 IVD327684 ILH327684 IBL327684 HRP327684 HHT327684 GXX327684 GOB327684 GEF327684 FUJ327684 FKN327684 FAR327684 EQV327684 EGZ327684 DXD327684 DNH327684 DDL327684 CTP327684 CJT327684 BZX327684 BQB327684 BGF327684 AWJ327684 AMN327684 ACR327684 SV327684 IZ327684 D327684 WVL262148 WLP262148 WBT262148 VRX262148 VIB262148 UYF262148 UOJ262148 UEN262148 TUR262148 TKV262148 TAZ262148 SRD262148 SHH262148 RXL262148 RNP262148 RDT262148 QTX262148 QKB262148 QAF262148 PQJ262148 PGN262148 OWR262148 OMV262148 OCZ262148 NTD262148 NJH262148 MZL262148 MPP262148 MFT262148 LVX262148 LMB262148 LCF262148 KSJ262148 KIN262148 JYR262148 JOV262148 JEZ262148 IVD262148 ILH262148 IBL262148 HRP262148 HHT262148 GXX262148 GOB262148 GEF262148 FUJ262148 FKN262148 FAR262148 EQV262148 EGZ262148 DXD262148 DNH262148 DDL262148 CTP262148 CJT262148 BZX262148 BQB262148 BGF262148 AWJ262148 AMN262148 ACR262148 SV262148 IZ262148 D262148 WVL196612 WLP196612 WBT196612 VRX196612 VIB196612 UYF196612 UOJ196612 UEN196612 TUR196612 TKV196612 TAZ196612 SRD196612 SHH196612 RXL196612 RNP196612 RDT196612 QTX196612 QKB196612 QAF196612 PQJ196612 PGN196612 OWR196612 OMV196612 OCZ196612 NTD196612 NJH196612 MZL196612 MPP196612 MFT196612 LVX196612 LMB196612 LCF196612 KSJ196612 KIN196612 JYR196612 JOV196612 JEZ196612 IVD196612 ILH196612 IBL196612 HRP196612 HHT196612 GXX196612 GOB196612 GEF196612 FUJ196612 FKN196612 FAR196612 EQV196612 EGZ196612 DXD196612 DNH196612 DDL196612 CTP196612 CJT196612 BZX196612 BQB196612 BGF196612 AWJ196612 AMN196612 ACR196612 SV196612 IZ196612 D196612 WVL131076 WLP131076 WBT131076 VRX131076 VIB131076 UYF131076 UOJ131076 UEN131076 TUR131076 TKV131076 TAZ131076 SRD131076 SHH131076 RXL131076 RNP131076 RDT131076 QTX131076 QKB131076 QAF131076 PQJ131076 PGN131076 OWR131076 OMV131076 OCZ131076 NTD131076 NJH131076 MZL131076 MPP131076 MFT131076 LVX131076 LMB131076 LCF131076 KSJ131076 KIN131076 JYR131076 JOV131076 JEZ131076 IVD131076 ILH131076 IBL131076 HRP131076 HHT131076 GXX131076 GOB131076 GEF131076 FUJ131076 FKN131076 FAR131076 EQV131076 EGZ131076 DXD131076 DNH131076 DDL131076 CTP131076 CJT131076 BZX131076 BQB131076 BGF131076 AWJ131076 AMN131076 ACR131076 SV131076 IZ131076 D131076 WVL65540 WLP65540 WBT65540 VRX65540 VIB65540 UYF65540 UOJ65540 UEN65540 TUR65540 TKV65540 TAZ65540 SRD65540 SHH65540 RXL65540 RNP65540 RDT65540 QTX65540 QKB65540 QAF65540 PQJ65540 PGN65540 OWR65540 OMV65540 OCZ65540 NTD65540 NJH65540 MZL65540 MPP65540 MFT65540 LVX65540 LMB65540 LCF65540 KSJ65540 KIN65540 JYR65540 JOV65540 JEZ65540 IVD65540 ILH65540 IBL65540 HRP65540 HHT65540 GXX65540 GOB65540 GEF65540 FUJ65540 FKN65540 FAR65540 EQV65540 EGZ65540 DXD65540 DNH65540 DDL65540 CTP65540 CJT65540 BZX65540 BQB65540 BGF65540 AWJ65540 AMN65540 ACR65540 SV65540 IZ65540 D65540 WVL4 WLP4 WBT4 VRX4 VIB4 UYF4 UOJ4 UEN4 TUR4 TKV4 TAZ4 SRD4 SHH4 RXL4 RNP4 RDT4 QTX4 QKB4 QAF4 PQJ4 PGN4 OWR4 OMV4 OCZ4 NTD4 NJH4 MZL4 MPP4 MFT4 LVX4 LMB4 LCF4 KSJ4 KIN4 JYR4 JOV4 JEZ4 IVD4 ILH4 IBL4 HRP4 HHT4 GXX4 GOB4 GEF4 FUJ4 FKN4 FAR4 EQV4 EGZ4 DXD4 DNH4 DDL4 CTP4 CJT4 BZX4 BQB4 BGF4 AWJ4 AMN4 ACR4 SV4 IZ4">
      <formula1>0</formula1>
      <formula2>0</formula2>
    </dataValidation>
    <dataValidation type="list" operator="equal" allowBlank="1" showErrorMessage="1" sqref="B4 WVJ983044 WLN983044 WBR983044 VRV983044 VHZ983044 UYD983044 UOH983044 UEL983044 TUP983044 TKT983044 TAX983044 SRB983044 SHF983044 RXJ983044 RNN983044 RDR983044 QTV983044 QJZ983044 QAD983044 PQH983044 PGL983044 OWP983044 OMT983044 OCX983044 NTB983044 NJF983044 MZJ983044 MPN983044 MFR983044 LVV983044 LLZ983044 LCD983044 KSH983044 KIL983044 JYP983044 JOT983044 JEX983044 IVB983044 ILF983044 IBJ983044 HRN983044 HHR983044 GXV983044 GNZ983044 GED983044 FUH983044 FKL983044 FAP983044 EQT983044 EGX983044 DXB983044 DNF983044 DDJ983044 CTN983044 CJR983044 BZV983044 BPZ983044 BGD983044 AWH983044 AML983044 ACP983044 ST983044 IX983044 B983044 WVJ917508 WLN917508 WBR917508 VRV917508 VHZ917508 UYD917508 UOH917508 UEL917508 TUP917508 TKT917508 TAX917508 SRB917508 SHF917508 RXJ917508 RNN917508 RDR917508 QTV917508 QJZ917508 QAD917508 PQH917508 PGL917508 OWP917508 OMT917508 OCX917508 NTB917508 NJF917508 MZJ917508 MPN917508 MFR917508 LVV917508 LLZ917508 LCD917508 KSH917508 KIL917508 JYP917508 JOT917508 JEX917508 IVB917508 ILF917508 IBJ917508 HRN917508 HHR917508 GXV917508 GNZ917508 GED917508 FUH917508 FKL917508 FAP917508 EQT917508 EGX917508 DXB917508 DNF917508 DDJ917508 CTN917508 CJR917508 BZV917508 BPZ917508 BGD917508 AWH917508 AML917508 ACP917508 ST917508 IX917508 B917508 WVJ851972 WLN851972 WBR851972 VRV851972 VHZ851972 UYD851972 UOH851972 UEL851972 TUP851972 TKT851972 TAX851972 SRB851972 SHF851972 RXJ851972 RNN851972 RDR851972 QTV851972 QJZ851972 QAD851972 PQH851972 PGL851972 OWP851972 OMT851972 OCX851972 NTB851972 NJF851972 MZJ851972 MPN851972 MFR851972 LVV851972 LLZ851972 LCD851972 KSH851972 KIL851972 JYP851972 JOT851972 JEX851972 IVB851972 ILF851972 IBJ851972 HRN851972 HHR851972 GXV851972 GNZ851972 GED851972 FUH851972 FKL851972 FAP851972 EQT851972 EGX851972 DXB851972 DNF851972 DDJ851972 CTN851972 CJR851972 BZV851972 BPZ851972 BGD851972 AWH851972 AML851972 ACP851972 ST851972 IX851972 B851972 WVJ786436 WLN786436 WBR786436 VRV786436 VHZ786436 UYD786436 UOH786436 UEL786436 TUP786436 TKT786436 TAX786436 SRB786436 SHF786436 RXJ786436 RNN786436 RDR786436 QTV786436 QJZ786436 QAD786436 PQH786436 PGL786436 OWP786436 OMT786436 OCX786436 NTB786436 NJF786436 MZJ786436 MPN786436 MFR786436 LVV786436 LLZ786436 LCD786436 KSH786436 KIL786436 JYP786436 JOT786436 JEX786436 IVB786436 ILF786436 IBJ786436 HRN786436 HHR786436 GXV786436 GNZ786436 GED786436 FUH786436 FKL786436 FAP786436 EQT786436 EGX786436 DXB786436 DNF786436 DDJ786436 CTN786436 CJR786436 BZV786436 BPZ786436 BGD786436 AWH786436 AML786436 ACP786436 ST786436 IX786436 B786436 WVJ720900 WLN720900 WBR720900 VRV720900 VHZ720900 UYD720900 UOH720900 UEL720900 TUP720900 TKT720900 TAX720900 SRB720900 SHF720900 RXJ720900 RNN720900 RDR720900 QTV720900 QJZ720900 QAD720900 PQH720900 PGL720900 OWP720900 OMT720900 OCX720900 NTB720900 NJF720900 MZJ720900 MPN720900 MFR720900 LVV720900 LLZ720900 LCD720900 KSH720900 KIL720900 JYP720900 JOT720900 JEX720900 IVB720900 ILF720900 IBJ720900 HRN720900 HHR720900 GXV720900 GNZ720900 GED720900 FUH720900 FKL720900 FAP720900 EQT720900 EGX720900 DXB720900 DNF720900 DDJ720900 CTN720900 CJR720900 BZV720900 BPZ720900 BGD720900 AWH720900 AML720900 ACP720900 ST720900 IX720900 B720900 WVJ655364 WLN655364 WBR655364 VRV655364 VHZ655364 UYD655364 UOH655364 UEL655364 TUP655364 TKT655364 TAX655364 SRB655364 SHF655364 RXJ655364 RNN655364 RDR655364 QTV655364 QJZ655364 QAD655364 PQH655364 PGL655364 OWP655364 OMT655364 OCX655364 NTB655364 NJF655364 MZJ655364 MPN655364 MFR655364 LVV655364 LLZ655364 LCD655364 KSH655364 KIL655364 JYP655364 JOT655364 JEX655364 IVB655364 ILF655364 IBJ655364 HRN655364 HHR655364 GXV655364 GNZ655364 GED655364 FUH655364 FKL655364 FAP655364 EQT655364 EGX655364 DXB655364 DNF655364 DDJ655364 CTN655364 CJR655364 BZV655364 BPZ655364 BGD655364 AWH655364 AML655364 ACP655364 ST655364 IX655364 B655364 WVJ589828 WLN589828 WBR589828 VRV589828 VHZ589828 UYD589828 UOH589828 UEL589828 TUP589828 TKT589828 TAX589828 SRB589828 SHF589828 RXJ589828 RNN589828 RDR589828 QTV589828 QJZ589828 QAD589828 PQH589828 PGL589828 OWP589828 OMT589828 OCX589828 NTB589828 NJF589828 MZJ589828 MPN589828 MFR589828 LVV589828 LLZ589828 LCD589828 KSH589828 KIL589828 JYP589828 JOT589828 JEX589828 IVB589828 ILF589828 IBJ589828 HRN589828 HHR589828 GXV589828 GNZ589828 GED589828 FUH589828 FKL589828 FAP589828 EQT589828 EGX589828 DXB589828 DNF589828 DDJ589828 CTN589828 CJR589828 BZV589828 BPZ589828 BGD589828 AWH589828 AML589828 ACP589828 ST589828 IX589828 B589828 WVJ524292 WLN524292 WBR524292 VRV524292 VHZ524292 UYD524292 UOH524292 UEL524292 TUP524292 TKT524292 TAX524292 SRB524292 SHF524292 RXJ524292 RNN524292 RDR524292 QTV524292 QJZ524292 QAD524292 PQH524292 PGL524292 OWP524292 OMT524292 OCX524292 NTB524292 NJF524292 MZJ524292 MPN524292 MFR524292 LVV524292 LLZ524292 LCD524292 KSH524292 KIL524292 JYP524292 JOT524292 JEX524292 IVB524292 ILF524292 IBJ524292 HRN524292 HHR524292 GXV524292 GNZ524292 GED524292 FUH524292 FKL524292 FAP524292 EQT524292 EGX524292 DXB524292 DNF524292 DDJ524292 CTN524292 CJR524292 BZV524292 BPZ524292 BGD524292 AWH524292 AML524292 ACP524292 ST524292 IX524292 B524292 WVJ458756 WLN458756 WBR458756 VRV458756 VHZ458756 UYD458756 UOH458756 UEL458756 TUP458756 TKT458756 TAX458756 SRB458756 SHF458756 RXJ458756 RNN458756 RDR458756 QTV458756 QJZ458756 QAD458756 PQH458756 PGL458756 OWP458756 OMT458756 OCX458756 NTB458756 NJF458756 MZJ458756 MPN458756 MFR458756 LVV458756 LLZ458756 LCD458756 KSH458756 KIL458756 JYP458756 JOT458756 JEX458756 IVB458756 ILF458756 IBJ458756 HRN458756 HHR458756 GXV458756 GNZ458756 GED458756 FUH458756 FKL458756 FAP458756 EQT458756 EGX458756 DXB458756 DNF458756 DDJ458756 CTN458756 CJR458756 BZV458756 BPZ458756 BGD458756 AWH458756 AML458756 ACP458756 ST458756 IX458756 B458756 WVJ393220 WLN393220 WBR393220 VRV393220 VHZ393220 UYD393220 UOH393220 UEL393220 TUP393220 TKT393220 TAX393220 SRB393220 SHF393220 RXJ393220 RNN393220 RDR393220 QTV393220 QJZ393220 QAD393220 PQH393220 PGL393220 OWP393220 OMT393220 OCX393220 NTB393220 NJF393220 MZJ393220 MPN393220 MFR393220 LVV393220 LLZ393220 LCD393220 KSH393220 KIL393220 JYP393220 JOT393220 JEX393220 IVB393220 ILF393220 IBJ393220 HRN393220 HHR393220 GXV393220 GNZ393220 GED393220 FUH393220 FKL393220 FAP393220 EQT393220 EGX393220 DXB393220 DNF393220 DDJ393220 CTN393220 CJR393220 BZV393220 BPZ393220 BGD393220 AWH393220 AML393220 ACP393220 ST393220 IX393220 B393220 WVJ327684 WLN327684 WBR327684 VRV327684 VHZ327684 UYD327684 UOH327684 UEL327684 TUP327684 TKT327684 TAX327684 SRB327684 SHF327684 RXJ327684 RNN327684 RDR327684 QTV327684 QJZ327684 QAD327684 PQH327684 PGL327684 OWP327684 OMT327684 OCX327684 NTB327684 NJF327684 MZJ327684 MPN327684 MFR327684 LVV327684 LLZ327684 LCD327684 KSH327684 KIL327684 JYP327684 JOT327684 JEX327684 IVB327684 ILF327684 IBJ327684 HRN327684 HHR327684 GXV327684 GNZ327684 GED327684 FUH327684 FKL327684 FAP327684 EQT327684 EGX327684 DXB327684 DNF327684 DDJ327684 CTN327684 CJR327684 BZV327684 BPZ327684 BGD327684 AWH327684 AML327684 ACP327684 ST327684 IX327684 B327684 WVJ262148 WLN262148 WBR262148 VRV262148 VHZ262148 UYD262148 UOH262148 UEL262148 TUP262148 TKT262148 TAX262148 SRB262148 SHF262148 RXJ262148 RNN262148 RDR262148 QTV262148 QJZ262148 QAD262148 PQH262148 PGL262148 OWP262148 OMT262148 OCX262148 NTB262148 NJF262148 MZJ262148 MPN262148 MFR262148 LVV262148 LLZ262148 LCD262148 KSH262148 KIL262148 JYP262148 JOT262148 JEX262148 IVB262148 ILF262148 IBJ262148 HRN262148 HHR262148 GXV262148 GNZ262148 GED262148 FUH262148 FKL262148 FAP262148 EQT262148 EGX262148 DXB262148 DNF262148 DDJ262148 CTN262148 CJR262148 BZV262148 BPZ262148 BGD262148 AWH262148 AML262148 ACP262148 ST262148 IX262148 B262148 WVJ196612 WLN196612 WBR196612 VRV196612 VHZ196612 UYD196612 UOH196612 UEL196612 TUP196612 TKT196612 TAX196612 SRB196612 SHF196612 RXJ196612 RNN196612 RDR196612 QTV196612 QJZ196612 QAD196612 PQH196612 PGL196612 OWP196612 OMT196612 OCX196612 NTB196612 NJF196612 MZJ196612 MPN196612 MFR196612 LVV196612 LLZ196612 LCD196612 KSH196612 KIL196612 JYP196612 JOT196612 JEX196612 IVB196612 ILF196612 IBJ196612 HRN196612 HHR196612 GXV196612 GNZ196612 GED196612 FUH196612 FKL196612 FAP196612 EQT196612 EGX196612 DXB196612 DNF196612 DDJ196612 CTN196612 CJR196612 BZV196612 BPZ196612 BGD196612 AWH196612 AML196612 ACP196612 ST196612 IX196612 B196612 WVJ131076 WLN131076 WBR131076 VRV131076 VHZ131076 UYD131076 UOH131076 UEL131076 TUP131076 TKT131076 TAX131076 SRB131076 SHF131076 RXJ131076 RNN131076 RDR131076 QTV131076 QJZ131076 QAD131076 PQH131076 PGL131076 OWP131076 OMT131076 OCX131076 NTB131076 NJF131076 MZJ131076 MPN131076 MFR131076 LVV131076 LLZ131076 LCD131076 KSH131076 KIL131076 JYP131076 JOT131076 JEX131076 IVB131076 ILF131076 IBJ131076 HRN131076 HHR131076 GXV131076 GNZ131076 GED131076 FUH131076 FKL131076 FAP131076 EQT131076 EGX131076 DXB131076 DNF131076 DDJ131076 CTN131076 CJR131076 BZV131076 BPZ131076 BGD131076 AWH131076 AML131076 ACP131076 ST131076 IX131076 B131076 WVJ65540 WLN65540 WBR65540 VRV65540 VHZ65540 UYD65540 UOH65540 UEL65540 TUP65540 TKT65540 TAX65540 SRB65540 SHF65540 RXJ65540 RNN65540 RDR65540 QTV65540 QJZ65540 QAD65540 PQH65540 PGL65540 OWP65540 OMT65540 OCX65540 NTB65540 NJF65540 MZJ65540 MPN65540 MFR65540 LVV65540 LLZ65540 LCD65540 KSH65540 KIL65540 JYP65540 JOT65540 JEX65540 IVB65540 ILF65540 IBJ65540 HRN65540 HHR65540 GXV65540 GNZ65540 GED65540 FUH65540 FKL65540 FAP65540 EQT65540 EGX65540 DXB65540 DNF65540 DDJ65540 CTN65540 CJR65540 BZV65540 BPZ65540 BGD65540 AWH65540 AML65540 ACP65540 ST65540 IX65540 B65540 WVJ4 WLN4 WBR4 VRV4 VHZ4 UYD4 UOH4 UEL4 TUP4 TKT4 TAX4 SRB4 SHF4 RXJ4 RNN4 RDR4 QTV4 QJZ4 QAD4 PQH4 PGL4 OWP4 OMT4 OCX4 NTB4 NJF4 MZJ4 MPN4 MFR4 LVV4 LLZ4 LCD4 KSH4 KIL4 JYP4 JOT4 JEX4 IVB4 ILF4 IBJ4 HRN4 HHR4 GXV4 GNZ4 GED4 FUH4 FKL4 FAP4 EQT4 EGX4 DXB4 DNF4 DDJ4 CTN4 CJR4 BZV4 BPZ4 BGD4 AWH4 AML4 ACP4 ST4 IX4">
      <formula1>"Zone A,Zone B"</formula1>
      <formula2>0</formula2>
    </dataValidation>
    <dataValidation type="list" operator="equal" allowBlank="1" showErrorMessage="1" sqref="F4">
      <formula1>"Yes, No"</formula1>
    </dataValidation>
    <dataValidation type="list" allowBlank="1" showInputMessage="1" showErrorMessage="1" sqref="B6">
      <formula1>"3 Yrs Enh, 2 Yrs Enh, 3 Yrs Pack, 2 Yrs Pack"</formula1>
    </dataValidation>
  </dataValidations>
  <hyperlinks>
    <hyperlink ref="H1" location="Motor Home Page!a1" display="Motor Home Page"/>
  </hyperlinks>
  <pageMargins left="0.78740157480314965" right="0.78740157480314965" top="1.0236220472440944" bottom="1.0236220472440944" header="0.78740157480314965" footer="0.78740157480314965"/>
  <pageSetup paperSize="9" scale="70" firstPageNumber="0" orientation="landscape" horizontalDpi="300" verticalDpi="300" r:id="rId1"/>
  <headerFooter alignWithMargins="0">
    <oddHeader>&amp;CDesigned By Prashanth Komarraju</oddHeader>
    <oddFooter>&amp;CPage &amp;P</oddFooter>
  </headerFooter>
  <rowBreaks count="1" manualBreakCount="1">
    <brk id="25" max="16383" man="1"/>
  </rowBreaks>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89"/>
  <sheetViews>
    <sheetView zoomScaleNormal="100" zoomScaleSheetLayoutView="51" workbookViewId="0">
      <selection activeCell="F2" sqref="F2"/>
    </sheetView>
  </sheetViews>
  <sheetFormatPr defaultColWidth="9.42578125" defaultRowHeight="15"/>
  <cols>
    <col min="1" max="1" width="31.7109375" style="5" customWidth="1"/>
    <col min="2" max="2" width="24" style="5" customWidth="1"/>
    <col min="3" max="3" width="35.140625" style="5" customWidth="1"/>
    <col min="4" max="4" width="10.140625" style="5" customWidth="1"/>
    <col min="5" max="5" width="35.140625" style="5" customWidth="1"/>
    <col min="6" max="6" width="15" style="5" customWidth="1"/>
    <col min="7" max="7" width="3.140625" style="5" customWidth="1"/>
    <col min="8" max="8" width="15.28515625" style="5" customWidth="1"/>
    <col min="9" max="9" width="13.7109375" style="5" customWidth="1"/>
    <col min="10" max="10" width="24.42578125" style="5" customWidth="1"/>
    <col min="11" max="46" width="9.42578125" style="5"/>
    <col min="47" max="47" width="7" style="5" customWidth="1"/>
    <col min="48" max="48" width="23.5703125" style="5" customWidth="1"/>
    <col min="49" max="49" width="15" style="5" customWidth="1"/>
    <col min="50" max="50" width="29.42578125" style="5" customWidth="1"/>
    <col min="51" max="68" width="9.42578125" style="5"/>
    <col min="69" max="69" width="12.5703125" style="5" customWidth="1"/>
    <col min="70" max="70" width="12.7109375" style="5" customWidth="1"/>
    <col min="71" max="71" width="15.5703125" style="5" customWidth="1"/>
    <col min="72" max="72" width="11.85546875" style="5" customWidth="1"/>
    <col min="73" max="73" width="12.42578125" style="5" customWidth="1"/>
    <col min="74" max="74" width="12" style="5" customWidth="1"/>
    <col min="75" max="256" width="9.42578125" style="5"/>
    <col min="257" max="257" width="30.7109375" style="5" customWidth="1"/>
    <col min="258" max="258" width="28.7109375" style="5" customWidth="1"/>
    <col min="259" max="259" width="31.28515625" style="5" customWidth="1"/>
    <col min="260" max="260" width="10.140625" style="5" customWidth="1"/>
    <col min="261" max="261" width="34" style="5" customWidth="1"/>
    <col min="262" max="262" width="11.28515625" style="5" customWidth="1"/>
    <col min="263" max="263" width="3.140625" style="5" customWidth="1"/>
    <col min="264" max="264" width="15.28515625" style="5" customWidth="1"/>
    <col min="265" max="265" width="13.7109375" style="5" customWidth="1"/>
    <col min="266" max="266" width="24.42578125" style="5" customWidth="1"/>
    <col min="267" max="302" width="9.42578125" style="5"/>
    <col min="303" max="303" width="7" style="5" customWidth="1"/>
    <col min="304" max="304" width="23.5703125" style="5" customWidth="1"/>
    <col min="305" max="305" width="15" style="5" customWidth="1"/>
    <col min="306" max="306" width="29.42578125" style="5" customWidth="1"/>
    <col min="307" max="324" width="9.42578125" style="5"/>
    <col min="325" max="325" width="12.5703125" style="5" customWidth="1"/>
    <col min="326" max="326" width="12.7109375" style="5" customWidth="1"/>
    <col min="327" max="327" width="15.5703125" style="5" customWidth="1"/>
    <col min="328" max="328" width="11.85546875" style="5" customWidth="1"/>
    <col min="329" max="329" width="12.42578125" style="5" customWidth="1"/>
    <col min="330" max="330" width="12" style="5" customWidth="1"/>
    <col min="331" max="512" width="9.42578125" style="5"/>
    <col min="513" max="513" width="30.7109375" style="5" customWidth="1"/>
    <col min="514" max="514" width="28.7109375" style="5" customWidth="1"/>
    <col min="515" max="515" width="31.28515625" style="5" customWidth="1"/>
    <col min="516" max="516" width="10.140625" style="5" customWidth="1"/>
    <col min="517" max="517" width="34" style="5" customWidth="1"/>
    <col min="518" max="518" width="11.28515625" style="5" customWidth="1"/>
    <col min="519" max="519" width="3.140625" style="5" customWidth="1"/>
    <col min="520" max="520" width="15.28515625" style="5" customWidth="1"/>
    <col min="521" max="521" width="13.7109375" style="5" customWidth="1"/>
    <col min="522" max="522" width="24.42578125" style="5" customWidth="1"/>
    <col min="523" max="558" width="9.42578125" style="5"/>
    <col min="559" max="559" width="7" style="5" customWidth="1"/>
    <col min="560" max="560" width="23.5703125" style="5" customWidth="1"/>
    <col min="561" max="561" width="15" style="5" customWidth="1"/>
    <col min="562" max="562" width="29.42578125" style="5" customWidth="1"/>
    <col min="563" max="580" width="9.42578125" style="5"/>
    <col min="581" max="581" width="12.5703125" style="5" customWidth="1"/>
    <col min="582" max="582" width="12.7109375" style="5" customWidth="1"/>
    <col min="583" max="583" width="15.5703125" style="5" customWidth="1"/>
    <col min="584" max="584" width="11.85546875" style="5" customWidth="1"/>
    <col min="585" max="585" width="12.42578125" style="5" customWidth="1"/>
    <col min="586" max="586" width="12" style="5" customWidth="1"/>
    <col min="587" max="768" width="9.42578125" style="5"/>
    <col min="769" max="769" width="30.7109375" style="5" customWidth="1"/>
    <col min="770" max="770" width="28.7109375" style="5" customWidth="1"/>
    <col min="771" max="771" width="31.28515625" style="5" customWidth="1"/>
    <col min="772" max="772" width="10.140625" style="5" customWidth="1"/>
    <col min="773" max="773" width="34" style="5" customWidth="1"/>
    <col min="774" max="774" width="11.28515625" style="5" customWidth="1"/>
    <col min="775" max="775" width="3.140625" style="5" customWidth="1"/>
    <col min="776" max="776" width="15.28515625" style="5" customWidth="1"/>
    <col min="777" max="777" width="13.7109375" style="5" customWidth="1"/>
    <col min="778" max="778" width="24.42578125" style="5" customWidth="1"/>
    <col min="779" max="814" width="9.42578125" style="5"/>
    <col min="815" max="815" width="7" style="5" customWidth="1"/>
    <col min="816" max="816" width="23.5703125" style="5" customWidth="1"/>
    <col min="817" max="817" width="15" style="5" customWidth="1"/>
    <col min="818" max="818" width="29.42578125" style="5" customWidth="1"/>
    <col min="819" max="836" width="9.42578125" style="5"/>
    <col min="837" max="837" width="12.5703125" style="5" customWidth="1"/>
    <col min="838" max="838" width="12.7109375" style="5" customWidth="1"/>
    <col min="839" max="839" width="15.5703125" style="5" customWidth="1"/>
    <col min="840" max="840" width="11.85546875" style="5" customWidth="1"/>
    <col min="841" max="841" width="12.42578125" style="5" customWidth="1"/>
    <col min="842" max="842" width="12" style="5" customWidth="1"/>
    <col min="843" max="1024" width="9.42578125" style="5"/>
    <col min="1025" max="1025" width="30.7109375" style="5" customWidth="1"/>
    <col min="1026" max="1026" width="28.7109375" style="5" customWidth="1"/>
    <col min="1027" max="1027" width="31.28515625" style="5" customWidth="1"/>
    <col min="1028" max="1028" width="10.140625" style="5" customWidth="1"/>
    <col min="1029" max="1029" width="34" style="5" customWidth="1"/>
    <col min="1030" max="1030" width="11.28515625" style="5" customWidth="1"/>
    <col min="1031" max="1031" width="3.140625" style="5" customWidth="1"/>
    <col min="1032" max="1032" width="15.28515625" style="5" customWidth="1"/>
    <col min="1033" max="1033" width="13.7109375" style="5" customWidth="1"/>
    <col min="1034" max="1034" width="24.42578125" style="5" customWidth="1"/>
    <col min="1035" max="1070" width="9.42578125" style="5"/>
    <col min="1071" max="1071" width="7" style="5" customWidth="1"/>
    <col min="1072" max="1072" width="23.5703125" style="5" customWidth="1"/>
    <col min="1073" max="1073" width="15" style="5" customWidth="1"/>
    <col min="1074" max="1074" width="29.42578125" style="5" customWidth="1"/>
    <col min="1075" max="1092" width="9.42578125" style="5"/>
    <col min="1093" max="1093" width="12.5703125" style="5" customWidth="1"/>
    <col min="1094" max="1094" width="12.7109375" style="5" customWidth="1"/>
    <col min="1095" max="1095" width="15.5703125" style="5" customWidth="1"/>
    <col min="1096" max="1096" width="11.85546875" style="5" customWidth="1"/>
    <col min="1097" max="1097" width="12.42578125" style="5" customWidth="1"/>
    <col min="1098" max="1098" width="12" style="5" customWidth="1"/>
    <col min="1099" max="1280" width="9.42578125" style="5"/>
    <col min="1281" max="1281" width="30.7109375" style="5" customWidth="1"/>
    <col min="1282" max="1282" width="28.7109375" style="5" customWidth="1"/>
    <col min="1283" max="1283" width="31.28515625" style="5" customWidth="1"/>
    <col min="1284" max="1284" width="10.140625" style="5" customWidth="1"/>
    <col min="1285" max="1285" width="34" style="5" customWidth="1"/>
    <col min="1286" max="1286" width="11.28515625" style="5" customWidth="1"/>
    <col min="1287" max="1287" width="3.140625" style="5" customWidth="1"/>
    <col min="1288" max="1288" width="15.28515625" style="5" customWidth="1"/>
    <col min="1289" max="1289" width="13.7109375" style="5" customWidth="1"/>
    <col min="1290" max="1290" width="24.42578125" style="5" customWidth="1"/>
    <col min="1291" max="1326" width="9.42578125" style="5"/>
    <col min="1327" max="1327" width="7" style="5" customWidth="1"/>
    <col min="1328" max="1328" width="23.5703125" style="5" customWidth="1"/>
    <col min="1329" max="1329" width="15" style="5" customWidth="1"/>
    <col min="1330" max="1330" width="29.42578125" style="5" customWidth="1"/>
    <col min="1331" max="1348" width="9.42578125" style="5"/>
    <col min="1349" max="1349" width="12.5703125" style="5" customWidth="1"/>
    <col min="1350" max="1350" width="12.7109375" style="5" customWidth="1"/>
    <col min="1351" max="1351" width="15.5703125" style="5" customWidth="1"/>
    <col min="1352" max="1352" width="11.85546875" style="5" customWidth="1"/>
    <col min="1353" max="1353" width="12.42578125" style="5" customWidth="1"/>
    <col min="1354" max="1354" width="12" style="5" customWidth="1"/>
    <col min="1355" max="1536" width="9.42578125" style="5"/>
    <col min="1537" max="1537" width="30.7109375" style="5" customWidth="1"/>
    <col min="1538" max="1538" width="28.7109375" style="5" customWidth="1"/>
    <col min="1539" max="1539" width="31.28515625" style="5" customWidth="1"/>
    <col min="1540" max="1540" width="10.140625" style="5" customWidth="1"/>
    <col min="1541" max="1541" width="34" style="5" customWidth="1"/>
    <col min="1542" max="1542" width="11.28515625" style="5" customWidth="1"/>
    <col min="1543" max="1543" width="3.140625" style="5" customWidth="1"/>
    <col min="1544" max="1544" width="15.28515625" style="5" customWidth="1"/>
    <col min="1545" max="1545" width="13.7109375" style="5" customWidth="1"/>
    <col min="1546" max="1546" width="24.42578125" style="5" customWidth="1"/>
    <col min="1547" max="1582" width="9.42578125" style="5"/>
    <col min="1583" max="1583" width="7" style="5" customWidth="1"/>
    <col min="1584" max="1584" width="23.5703125" style="5" customWidth="1"/>
    <col min="1585" max="1585" width="15" style="5" customWidth="1"/>
    <col min="1586" max="1586" width="29.42578125" style="5" customWidth="1"/>
    <col min="1587" max="1604" width="9.42578125" style="5"/>
    <col min="1605" max="1605" width="12.5703125" style="5" customWidth="1"/>
    <col min="1606" max="1606" width="12.7109375" style="5" customWidth="1"/>
    <col min="1607" max="1607" width="15.5703125" style="5" customWidth="1"/>
    <col min="1608" max="1608" width="11.85546875" style="5" customWidth="1"/>
    <col min="1609" max="1609" width="12.42578125" style="5" customWidth="1"/>
    <col min="1610" max="1610" width="12" style="5" customWidth="1"/>
    <col min="1611" max="1792" width="9.42578125" style="5"/>
    <col min="1793" max="1793" width="30.7109375" style="5" customWidth="1"/>
    <col min="1794" max="1794" width="28.7109375" style="5" customWidth="1"/>
    <col min="1795" max="1795" width="31.28515625" style="5" customWidth="1"/>
    <col min="1796" max="1796" width="10.140625" style="5" customWidth="1"/>
    <col min="1797" max="1797" width="34" style="5" customWidth="1"/>
    <col min="1798" max="1798" width="11.28515625" style="5" customWidth="1"/>
    <col min="1799" max="1799" width="3.140625" style="5" customWidth="1"/>
    <col min="1800" max="1800" width="15.28515625" style="5" customWidth="1"/>
    <col min="1801" max="1801" width="13.7109375" style="5" customWidth="1"/>
    <col min="1802" max="1802" width="24.42578125" style="5" customWidth="1"/>
    <col min="1803" max="1838" width="9.42578125" style="5"/>
    <col min="1839" max="1839" width="7" style="5" customWidth="1"/>
    <col min="1840" max="1840" width="23.5703125" style="5" customWidth="1"/>
    <col min="1841" max="1841" width="15" style="5" customWidth="1"/>
    <col min="1842" max="1842" width="29.42578125" style="5" customWidth="1"/>
    <col min="1843" max="1860" width="9.42578125" style="5"/>
    <col min="1861" max="1861" width="12.5703125" style="5" customWidth="1"/>
    <col min="1862" max="1862" width="12.7109375" style="5" customWidth="1"/>
    <col min="1863" max="1863" width="15.5703125" style="5" customWidth="1"/>
    <col min="1864" max="1864" width="11.85546875" style="5" customWidth="1"/>
    <col min="1865" max="1865" width="12.42578125" style="5" customWidth="1"/>
    <col min="1866" max="1866" width="12" style="5" customWidth="1"/>
    <col min="1867" max="2048" width="9.42578125" style="5"/>
    <col min="2049" max="2049" width="30.7109375" style="5" customWidth="1"/>
    <col min="2050" max="2050" width="28.7109375" style="5" customWidth="1"/>
    <col min="2051" max="2051" width="31.28515625" style="5" customWidth="1"/>
    <col min="2052" max="2052" width="10.140625" style="5" customWidth="1"/>
    <col min="2053" max="2053" width="34" style="5" customWidth="1"/>
    <col min="2054" max="2054" width="11.28515625" style="5" customWidth="1"/>
    <col min="2055" max="2055" width="3.140625" style="5" customWidth="1"/>
    <col min="2056" max="2056" width="15.28515625" style="5" customWidth="1"/>
    <col min="2057" max="2057" width="13.7109375" style="5" customWidth="1"/>
    <col min="2058" max="2058" width="24.42578125" style="5" customWidth="1"/>
    <col min="2059" max="2094" width="9.42578125" style="5"/>
    <col min="2095" max="2095" width="7" style="5" customWidth="1"/>
    <col min="2096" max="2096" width="23.5703125" style="5" customWidth="1"/>
    <col min="2097" max="2097" width="15" style="5" customWidth="1"/>
    <col min="2098" max="2098" width="29.42578125" style="5" customWidth="1"/>
    <col min="2099" max="2116" width="9.42578125" style="5"/>
    <col min="2117" max="2117" width="12.5703125" style="5" customWidth="1"/>
    <col min="2118" max="2118" width="12.7109375" style="5" customWidth="1"/>
    <col min="2119" max="2119" width="15.5703125" style="5" customWidth="1"/>
    <col min="2120" max="2120" width="11.85546875" style="5" customWidth="1"/>
    <col min="2121" max="2121" width="12.42578125" style="5" customWidth="1"/>
    <col min="2122" max="2122" width="12" style="5" customWidth="1"/>
    <col min="2123" max="2304" width="9.42578125" style="5"/>
    <col min="2305" max="2305" width="30.7109375" style="5" customWidth="1"/>
    <col min="2306" max="2306" width="28.7109375" style="5" customWidth="1"/>
    <col min="2307" max="2307" width="31.28515625" style="5" customWidth="1"/>
    <col min="2308" max="2308" width="10.140625" style="5" customWidth="1"/>
    <col min="2309" max="2309" width="34" style="5" customWidth="1"/>
    <col min="2310" max="2310" width="11.28515625" style="5" customWidth="1"/>
    <col min="2311" max="2311" width="3.140625" style="5" customWidth="1"/>
    <col min="2312" max="2312" width="15.28515625" style="5" customWidth="1"/>
    <col min="2313" max="2313" width="13.7109375" style="5" customWidth="1"/>
    <col min="2314" max="2314" width="24.42578125" style="5" customWidth="1"/>
    <col min="2315" max="2350" width="9.42578125" style="5"/>
    <col min="2351" max="2351" width="7" style="5" customWidth="1"/>
    <col min="2352" max="2352" width="23.5703125" style="5" customWidth="1"/>
    <col min="2353" max="2353" width="15" style="5" customWidth="1"/>
    <col min="2354" max="2354" width="29.42578125" style="5" customWidth="1"/>
    <col min="2355" max="2372" width="9.42578125" style="5"/>
    <col min="2373" max="2373" width="12.5703125" style="5" customWidth="1"/>
    <col min="2374" max="2374" width="12.7109375" style="5" customWidth="1"/>
    <col min="2375" max="2375" width="15.5703125" style="5" customWidth="1"/>
    <col min="2376" max="2376" width="11.85546875" style="5" customWidth="1"/>
    <col min="2377" max="2377" width="12.42578125" style="5" customWidth="1"/>
    <col min="2378" max="2378" width="12" style="5" customWidth="1"/>
    <col min="2379" max="2560" width="9.42578125" style="5"/>
    <col min="2561" max="2561" width="30.7109375" style="5" customWidth="1"/>
    <col min="2562" max="2562" width="28.7109375" style="5" customWidth="1"/>
    <col min="2563" max="2563" width="31.28515625" style="5" customWidth="1"/>
    <col min="2564" max="2564" width="10.140625" style="5" customWidth="1"/>
    <col min="2565" max="2565" width="34" style="5" customWidth="1"/>
    <col min="2566" max="2566" width="11.28515625" style="5" customWidth="1"/>
    <col min="2567" max="2567" width="3.140625" style="5" customWidth="1"/>
    <col min="2568" max="2568" width="15.28515625" style="5" customWidth="1"/>
    <col min="2569" max="2569" width="13.7109375" style="5" customWidth="1"/>
    <col min="2570" max="2570" width="24.42578125" style="5" customWidth="1"/>
    <col min="2571" max="2606" width="9.42578125" style="5"/>
    <col min="2607" max="2607" width="7" style="5" customWidth="1"/>
    <col min="2608" max="2608" width="23.5703125" style="5" customWidth="1"/>
    <col min="2609" max="2609" width="15" style="5" customWidth="1"/>
    <col min="2610" max="2610" width="29.42578125" style="5" customWidth="1"/>
    <col min="2611" max="2628" width="9.42578125" style="5"/>
    <col min="2629" max="2629" width="12.5703125" style="5" customWidth="1"/>
    <col min="2630" max="2630" width="12.7109375" style="5" customWidth="1"/>
    <col min="2631" max="2631" width="15.5703125" style="5" customWidth="1"/>
    <col min="2632" max="2632" width="11.85546875" style="5" customWidth="1"/>
    <col min="2633" max="2633" width="12.42578125" style="5" customWidth="1"/>
    <col min="2634" max="2634" width="12" style="5" customWidth="1"/>
    <col min="2635" max="2816" width="9.42578125" style="5"/>
    <col min="2817" max="2817" width="30.7109375" style="5" customWidth="1"/>
    <col min="2818" max="2818" width="28.7109375" style="5" customWidth="1"/>
    <col min="2819" max="2819" width="31.28515625" style="5" customWidth="1"/>
    <col min="2820" max="2820" width="10.140625" style="5" customWidth="1"/>
    <col min="2821" max="2821" width="34" style="5" customWidth="1"/>
    <col min="2822" max="2822" width="11.28515625" style="5" customWidth="1"/>
    <col min="2823" max="2823" width="3.140625" style="5" customWidth="1"/>
    <col min="2824" max="2824" width="15.28515625" style="5" customWidth="1"/>
    <col min="2825" max="2825" width="13.7109375" style="5" customWidth="1"/>
    <col min="2826" max="2826" width="24.42578125" style="5" customWidth="1"/>
    <col min="2827" max="2862" width="9.42578125" style="5"/>
    <col min="2863" max="2863" width="7" style="5" customWidth="1"/>
    <col min="2864" max="2864" width="23.5703125" style="5" customWidth="1"/>
    <col min="2865" max="2865" width="15" style="5" customWidth="1"/>
    <col min="2866" max="2866" width="29.42578125" style="5" customWidth="1"/>
    <col min="2867" max="2884" width="9.42578125" style="5"/>
    <col min="2885" max="2885" width="12.5703125" style="5" customWidth="1"/>
    <col min="2886" max="2886" width="12.7109375" style="5" customWidth="1"/>
    <col min="2887" max="2887" width="15.5703125" style="5" customWidth="1"/>
    <col min="2888" max="2888" width="11.85546875" style="5" customWidth="1"/>
    <col min="2889" max="2889" width="12.42578125" style="5" customWidth="1"/>
    <col min="2890" max="2890" width="12" style="5" customWidth="1"/>
    <col min="2891" max="3072" width="9.42578125" style="5"/>
    <col min="3073" max="3073" width="30.7109375" style="5" customWidth="1"/>
    <col min="3074" max="3074" width="28.7109375" style="5" customWidth="1"/>
    <col min="3075" max="3075" width="31.28515625" style="5" customWidth="1"/>
    <col min="3076" max="3076" width="10.140625" style="5" customWidth="1"/>
    <col min="3077" max="3077" width="34" style="5" customWidth="1"/>
    <col min="3078" max="3078" width="11.28515625" style="5" customWidth="1"/>
    <col min="3079" max="3079" width="3.140625" style="5" customWidth="1"/>
    <col min="3080" max="3080" width="15.28515625" style="5" customWidth="1"/>
    <col min="3081" max="3081" width="13.7109375" style="5" customWidth="1"/>
    <col min="3082" max="3082" width="24.42578125" style="5" customWidth="1"/>
    <col min="3083" max="3118" width="9.42578125" style="5"/>
    <col min="3119" max="3119" width="7" style="5" customWidth="1"/>
    <col min="3120" max="3120" width="23.5703125" style="5" customWidth="1"/>
    <col min="3121" max="3121" width="15" style="5" customWidth="1"/>
    <col min="3122" max="3122" width="29.42578125" style="5" customWidth="1"/>
    <col min="3123" max="3140" width="9.42578125" style="5"/>
    <col min="3141" max="3141" width="12.5703125" style="5" customWidth="1"/>
    <col min="3142" max="3142" width="12.7109375" style="5" customWidth="1"/>
    <col min="3143" max="3143" width="15.5703125" style="5" customWidth="1"/>
    <col min="3144" max="3144" width="11.85546875" style="5" customWidth="1"/>
    <col min="3145" max="3145" width="12.42578125" style="5" customWidth="1"/>
    <col min="3146" max="3146" width="12" style="5" customWidth="1"/>
    <col min="3147" max="3328" width="9.42578125" style="5"/>
    <col min="3329" max="3329" width="30.7109375" style="5" customWidth="1"/>
    <col min="3330" max="3330" width="28.7109375" style="5" customWidth="1"/>
    <col min="3331" max="3331" width="31.28515625" style="5" customWidth="1"/>
    <col min="3332" max="3332" width="10.140625" style="5" customWidth="1"/>
    <col min="3333" max="3333" width="34" style="5" customWidth="1"/>
    <col min="3334" max="3334" width="11.28515625" style="5" customWidth="1"/>
    <col min="3335" max="3335" width="3.140625" style="5" customWidth="1"/>
    <col min="3336" max="3336" width="15.28515625" style="5" customWidth="1"/>
    <col min="3337" max="3337" width="13.7109375" style="5" customWidth="1"/>
    <col min="3338" max="3338" width="24.42578125" style="5" customWidth="1"/>
    <col min="3339" max="3374" width="9.42578125" style="5"/>
    <col min="3375" max="3375" width="7" style="5" customWidth="1"/>
    <col min="3376" max="3376" width="23.5703125" style="5" customWidth="1"/>
    <col min="3377" max="3377" width="15" style="5" customWidth="1"/>
    <col min="3378" max="3378" width="29.42578125" style="5" customWidth="1"/>
    <col min="3379" max="3396" width="9.42578125" style="5"/>
    <col min="3397" max="3397" width="12.5703125" style="5" customWidth="1"/>
    <col min="3398" max="3398" width="12.7109375" style="5" customWidth="1"/>
    <col min="3399" max="3399" width="15.5703125" style="5" customWidth="1"/>
    <col min="3400" max="3400" width="11.85546875" style="5" customWidth="1"/>
    <col min="3401" max="3401" width="12.42578125" style="5" customWidth="1"/>
    <col min="3402" max="3402" width="12" style="5" customWidth="1"/>
    <col min="3403" max="3584" width="9.42578125" style="5"/>
    <col min="3585" max="3585" width="30.7109375" style="5" customWidth="1"/>
    <col min="3586" max="3586" width="28.7109375" style="5" customWidth="1"/>
    <col min="3587" max="3587" width="31.28515625" style="5" customWidth="1"/>
    <col min="3588" max="3588" width="10.140625" style="5" customWidth="1"/>
    <col min="3589" max="3589" width="34" style="5" customWidth="1"/>
    <col min="3590" max="3590" width="11.28515625" style="5" customWidth="1"/>
    <col min="3591" max="3591" width="3.140625" style="5" customWidth="1"/>
    <col min="3592" max="3592" width="15.28515625" style="5" customWidth="1"/>
    <col min="3593" max="3593" width="13.7109375" style="5" customWidth="1"/>
    <col min="3594" max="3594" width="24.42578125" style="5" customWidth="1"/>
    <col min="3595" max="3630" width="9.42578125" style="5"/>
    <col min="3631" max="3631" width="7" style="5" customWidth="1"/>
    <col min="3632" max="3632" width="23.5703125" style="5" customWidth="1"/>
    <col min="3633" max="3633" width="15" style="5" customWidth="1"/>
    <col min="3634" max="3634" width="29.42578125" style="5" customWidth="1"/>
    <col min="3635" max="3652" width="9.42578125" style="5"/>
    <col min="3653" max="3653" width="12.5703125" style="5" customWidth="1"/>
    <col min="3654" max="3654" width="12.7109375" style="5" customWidth="1"/>
    <col min="3655" max="3655" width="15.5703125" style="5" customWidth="1"/>
    <col min="3656" max="3656" width="11.85546875" style="5" customWidth="1"/>
    <col min="3657" max="3657" width="12.42578125" style="5" customWidth="1"/>
    <col min="3658" max="3658" width="12" style="5" customWidth="1"/>
    <col min="3659" max="3840" width="9.42578125" style="5"/>
    <col min="3841" max="3841" width="30.7109375" style="5" customWidth="1"/>
    <col min="3842" max="3842" width="28.7109375" style="5" customWidth="1"/>
    <col min="3843" max="3843" width="31.28515625" style="5" customWidth="1"/>
    <col min="3844" max="3844" width="10.140625" style="5" customWidth="1"/>
    <col min="3845" max="3845" width="34" style="5" customWidth="1"/>
    <col min="3846" max="3846" width="11.28515625" style="5" customWidth="1"/>
    <col min="3847" max="3847" width="3.140625" style="5" customWidth="1"/>
    <col min="3848" max="3848" width="15.28515625" style="5" customWidth="1"/>
    <col min="3849" max="3849" width="13.7109375" style="5" customWidth="1"/>
    <col min="3850" max="3850" width="24.42578125" style="5" customWidth="1"/>
    <col min="3851" max="3886" width="9.42578125" style="5"/>
    <col min="3887" max="3887" width="7" style="5" customWidth="1"/>
    <col min="3888" max="3888" width="23.5703125" style="5" customWidth="1"/>
    <col min="3889" max="3889" width="15" style="5" customWidth="1"/>
    <col min="3890" max="3890" width="29.42578125" style="5" customWidth="1"/>
    <col min="3891" max="3908" width="9.42578125" style="5"/>
    <col min="3909" max="3909" width="12.5703125" style="5" customWidth="1"/>
    <col min="3910" max="3910" width="12.7109375" style="5" customWidth="1"/>
    <col min="3911" max="3911" width="15.5703125" style="5" customWidth="1"/>
    <col min="3912" max="3912" width="11.85546875" style="5" customWidth="1"/>
    <col min="3913" max="3913" width="12.42578125" style="5" customWidth="1"/>
    <col min="3914" max="3914" width="12" style="5" customWidth="1"/>
    <col min="3915" max="4096" width="9.42578125" style="5"/>
    <col min="4097" max="4097" width="30.7109375" style="5" customWidth="1"/>
    <col min="4098" max="4098" width="28.7109375" style="5" customWidth="1"/>
    <col min="4099" max="4099" width="31.28515625" style="5" customWidth="1"/>
    <col min="4100" max="4100" width="10.140625" style="5" customWidth="1"/>
    <col min="4101" max="4101" width="34" style="5" customWidth="1"/>
    <col min="4102" max="4102" width="11.28515625" style="5" customWidth="1"/>
    <col min="4103" max="4103" width="3.140625" style="5" customWidth="1"/>
    <col min="4104" max="4104" width="15.28515625" style="5" customWidth="1"/>
    <col min="4105" max="4105" width="13.7109375" style="5" customWidth="1"/>
    <col min="4106" max="4106" width="24.42578125" style="5" customWidth="1"/>
    <col min="4107" max="4142" width="9.42578125" style="5"/>
    <col min="4143" max="4143" width="7" style="5" customWidth="1"/>
    <col min="4144" max="4144" width="23.5703125" style="5" customWidth="1"/>
    <col min="4145" max="4145" width="15" style="5" customWidth="1"/>
    <col min="4146" max="4146" width="29.42578125" style="5" customWidth="1"/>
    <col min="4147" max="4164" width="9.42578125" style="5"/>
    <col min="4165" max="4165" width="12.5703125" style="5" customWidth="1"/>
    <col min="4166" max="4166" width="12.7109375" style="5" customWidth="1"/>
    <col min="4167" max="4167" width="15.5703125" style="5" customWidth="1"/>
    <col min="4168" max="4168" width="11.85546875" style="5" customWidth="1"/>
    <col min="4169" max="4169" width="12.42578125" style="5" customWidth="1"/>
    <col min="4170" max="4170" width="12" style="5" customWidth="1"/>
    <col min="4171" max="4352" width="9.42578125" style="5"/>
    <col min="4353" max="4353" width="30.7109375" style="5" customWidth="1"/>
    <col min="4354" max="4354" width="28.7109375" style="5" customWidth="1"/>
    <col min="4355" max="4355" width="31.28515625" style="5" customWidth="1"/>
    <col min="4356" max="4356" width="10.140625" style="5" customWidth="1"/>
    <col min="4357" max="4357" width="34" style="5" customWidth="1"/>
    <col min="4358" max="4358" width="11.28515625" style="5" customWidth="1"/>
    <col min="4359" max="4359" width="3.140625" style="5" customWidth="1"/>
    <col min="4360" max="4360" width="15.28515625" style="5" customWidth="1"/>
    <col min="4361" max="4361" width="13.7109375" style="5" customWidth="1"/>
    <col min="4362" max="4362" width="24.42578125" style="5" customWidth="1"/>
    <col min="4363" max="4398" width="9.42578125" style="5"/>
    <col min="4399" max="4399" width="7" style="5" customWidth="1"/>
    <col min="4400" max="4400" width="23.5703125" style="5" customWidth="1"/>
    <col min="4401" max="4401" width="15" style="5" customWidth="1"/>
    <col min="4402" max="4402" width="29.42578125" style="5" customWidth="1"/>
    <col min="4403" max="4420" width="9.42578125" style="5"/>
    <col min="4421" max="4421" width="12.5703125" style="5" customWidth="1"/>
    <col min="4422" max="4422" width="12.7109375" style="5" customWidth="1"/>
    <col min="4423" max="4423" width="15.5703125" style="5" customWidth="1"/>
    <col min="4424" max="4424" width="11.85546875" style="5" customWidth="1"/>
    <col min="4425" max="4425" width="12.42578125" style="5" customWidth="1"/>
    <col min="4426" max="4426" width="12" style="5" customWidth="1"/>
    <col min="4427" max="4608" width="9.42578125" style="5"/>
    <col min="4609" max="4609" width="30.7109375" style="5" customWidth="1"/>
    <col min="4610" max="4610" width="28.7109375" style="5" customWidth="1"/>
    <col min="4611" max="4611" width="31.28515625" style="5" customWidth="1"/>
    <col min="4612" max="4612" width="10.140625" style="5" customWidth="1"/>
    <col min="4613" max="4613" width="34" style="5" customWidth="1"/>
    <col min="4614" max="4614" width="11.28515625" style="5" customWidth="1"/>
    <col min="4615" max="4615" width="3.140625" style="5" customWidth="1"/>
    <col min="4616" max="4616" width="15.28515625" style="5" customWidth="1"/>
    <col min="4617" max="4617" width="13.7109375" style="5" customWidth="1"/>
    <col min="4618" max="4618" width="24.42578125" style="5" customWidth="1"/>
    <col min="4619" max="4654" width="9.42578125" style="5"/>
    <col min="4655" max="4655" width="7" style="5" customWidth="1"/>
    <col min="4656" max="4656" width="23.5703125" style="5" customWidth="1"/>
    <col min="4657" max="4657" width="15" style="5" customWidth="1"/>
    <col min="4658" max="4658" width="29.42578125" style="5" customWidth="1"/>
    <col min="4659" max="4676" width="9.42578125" style="5"/>
    <col min="4677" max="4677" width="12.5703125" style="5" customWidth="1"/>
    <col min="4678" max="4678" width="12.7109375" style="5" customWidth="1"/>
    <col min="4679" max="4679" width="15.5703125" style="5" customWidth="1"/>
    <col min="4680" max="4680" width="11.85546875" style="5" customWidth="1"/>
    <col min="4681" max="4681" width="12.42578125" style="5" customWidth="1"/>
    <col min="4682" max="4682" width="12" style="5" customWidth="1"/>
    <col min="4683" max="4864" width="9.42578125" style="5"/>
    <col min="4865" max="4865" width="30.7109375" style="5" customWidth="1"/>
    <col min="4866" max="4866" width="28.7109375" style="5" customWidth="1"/>
    <col min="4867" max="4867" width="31.28515625" style="5" customWidth="1"/>
    <col min="4868" max="4868" width="10.140625" style="5" customWidth="1"/>
    <col min="4869" max="4869" width="34" style="5" customWidth="1"/>
    <col min="4870" max="4870" width="11.28515625" style="5" customWidth="1"/>
    <col min="4871" max="4871" width="3.140625" style="5" customWidth="1"/>
    <col min="4872" max="4872" width="15.28515625" style="5" customWidth="1"/>
    <col min="4873" max="4873" width="13.7109375" style="5" customWidth="1"/>
    <col min="4874" max="4874" width="24.42578125" style="5" customWidth="1"/>
    <col min="4875" max="4910" width="9.42578125" style="5"/>
    <col min="4911" max="4911" width="7" style="5" customWidth="1"/>
    <col min="4912" max="4912" width="23.5703125" style="5" customWidth="1"/>
    <col min="4913" max="4913" width="15" style="5" customWidth="1"/>
    <col min="4914" max="4914" width="29.42578125" style="5" customWidth="1"/>
    <col min="4915" max="4932" width="9.42578125" style="5"/>
    <col min="4933" max="4933" width="12.5703125" style="5" customWidth="1"/>
    <col min="4934" max="4934" width="12.7109375" style="5" customWidth="1"/>
    <col min="4935" max="4935" width="15.5703125" style="5" customWidth="1"/>
    <col min="4936" max="4936" width="11.85546875" style="5" customWidth="1"/>
    <col min="4937" max="4937" width="12.42578125" style="5" customWidth="1"/>
    <col min="4938" max="4938" width="12" style="5" customWidth="1"/>
    <col min="4939" max="5120" width="9.42578125" style="5"/>
    <col min="5121" max="5121" width="30.7109375" style="5" customWidth="1"/>
    <col min="5122" max="5122" width="28.7109375" style="5" customWidth="1"/>
    <col min="5123" max="5123" width="31.28515625" style="5" customWidth="1"/>
    <col min="5124" max="5124" width="10.140625" style="5" customWidth="1"/>
    <col min="5125" max="5125" width="34" style="5" customWidth="1"/>
    <col min="5126" max="5126" width="11.28515625" style="5" customWidth="1"/>
    <col min="5127" max="5127" width="3.140625" style="5" customWidth="1"/>
    <col min="5128" max="5128" width="15.28515625" style="5" customWidth="1"/>
    <col min="5129" max="5129" width="13.7109375" style="5" customWidth="1"/>
    <col min="5130" max="5130" width="24.42578125" style="5" customWidth="1"/>
    <col min="5131" max="5166" width="9.42578125" style="5"/>
    <col min="5167" max="5167" width="7" style="5" customWidth="1"/>
    <col min="5168" max="5168" width="23.5703125" style="5" customWidth="1"/>
    <col min="5169" max="5169" width="15" style="5" customWidth="1"/>
    <col min="5170" max="5170" width="29.42578125" style="5" customWidth="1"/>
    <col min="5171" max="5188" width="9.42578125" style="5"/>
    <col min="5189" max="5189" width="12.5703125" style="5" customWidth="1"/>
    <col min="5190" max="5190" width="12.7109375" style="5" customWidth="1"/>
    <col min="5191" max="5191" width="15.5703125" style="5" customWidth="1"/>
    <col min="5192" max="5192" width="11.85546875" style="5" customWidth="1"/>
    <col min="5193" max="5193" width="12.42578125" style="5" customWidth="1"/>
    <col min="5194" max="5194" width="12" style="5" customWidth="1"/>
    <col min="5195" max="5376" width="9.42578125" style="5"/>
    <col min="5377" max="5377" width="30.7109375" style="5" customWidth="1"/>
    <col min="5378" max="5378" width="28.7109375" style="5" customWidth="1"/>
    <col min="5379" max="5379" width="31.28515625" style="5" customWidth="1"/>
    <col min="5380" max="5380" width="10.140625" style="5" customWidth="1"/>
    <col min="5381" max="5381" width="34" style="5" customWidth="1"/>
    <col min="5382" max="5382" width="11.28515625" style="5" customWidth="1"/>
    <col min="5383" max="5383" width="3.140625" style="5" customWidth="1"/>
    <col min="5384" max="5384" width="15.28515625" style="5" customWidth="1"/>
    <col min="5385" max="5385" width="13.7109375" style="5" customWidth="1"/>
    <col min="5386" max="5386" width="24.42578125" style="5" customWidth="1"/>
    <col min="5387" max="5422" width="9.42578125" style="5"/>
    <col min="5423" max="5423" width="7" style="5" customWidth="1"/>
    <col min="5424" max="5424" width="23.5703125" style="5" customWidth="1"/>
    <col min="5425" max="5425" width="15" style="5" customWidth="1"/>
    <col min="5426" max="5426" width="29.42578125" style="5" customWidth="1"/>
    <col min="5427" max="5444" width="9.42578125" style="5"/>
    <col min="5445" max="5445" width="12.5703125" style="5" customWidth="1"/>
    <col min="5446" max="5446" width="12.7109375" style="5" customWidth="1"/>
    <col min="5447" max="5447" width="15.5703125" style="5" customWidth="1"/>
    <col min="5448" max="5448" width="11.85546875" style="5" customWidth="1"/>
    <col min="5449" max="5449" width="12.42578125" style="5" customWidth="1"/>
    <col min="5450" max="5450" width="12" style="5" customWidth="1"/>
    <col min="5451" max="5632" width="9.42578125" style="5"/>
    <col min="5633" max="5633" width="30.7109375" style="5" customWidth="1"/>
    <col min="5634" max="5634" width="28.7109375" style="5" customWidth="1"/>
    <col min="5635" max="5635" width="31.28515625" style="5" customWidth="1"/>
    <col min="5636" max="5636" width="10.140625" style="5" customWidth="1"/>
    <col min="5637" max="5637" width="34" style="5" customWidth="1"/>
    <col min="5638" max="5638" width="11.28515625" style="5" customWidth="1"/>
    <col min="5639" max="5639" width="3.140625" style="5" customWidth="1"/>
    <col min="5640" max="5640" width="15.28515625" style="5" customWidth="1"/>
    <col min="5641" max="5641" width="13.7109375" style="5" customWidth="1"/>
    <col min="5642" max="5642" width="24.42578125" style="5" customWidth="1"/>
    <col min="5643" max="5678" width="9.42578125" style="5"/>
    <col min="5679" max="5679" width="7" style="5" customWidth="1"/>
    <col min="5680" max="5680" width="23.5703125" style="5" customWidth="1"/>
    <col min="5681" max="5681" width="15" style="5" customWidth="1"/>
    <col min="5682" max="5682" width="29.42578125" style="5" customWidth="1"/>
    <col min="5683" max="5700" width="9.42578125" style="5"/>
    <col min="5701" max="5701" width="12.5703125" style="5" customWidth="1"/>
    <col min="5702" max="5702" width="12.7109375" style="5" customWidth="1"/>
    <col min="5703" max="5703" width="15.5703125" style="5" customWidth="1"/>
    <col min="5704" max="5704" width="11.85546875" style="5" customWidth="1"/>
    <col min="5705" max="5705" width="12.42578125" style="5" customWidth="1"/>
    <col min="5706" max="5706" width="12" style="5" customWidth="1"/>
    <col min="5707" max="5888" width="9.42578125" style="5"/>
    <col min="5889" max="5889" width="30.7109375" style="5" customWidth="1"/>
    <col min="5890" max="5890" width="28.7109375" style="5" customWidth="1"/>
    <col min="5891" max="5891" width="31.28515625" style="5" customWidth="1"/>
    <col min="5892" max="5892" width="10.140625" style="5" customWidth="1"/>
    <col min="5893" max="5893" width="34" style="5" customWidth="1"/>
    <col min="5894" max="5894" width="11.28515625" style="5" customWidth="1"/>
    <col min="5895" max="5895" width="3.140625" style="5" customWidth="1"/>
    <col min="5896" max="5896" width="15.28515625" style="5" customWidth="1"/>
    <col min="5897" max="5897" width="13.7109375" style="5" customWidth="1"/>
    <col min="5898" max="5898" width="24.42578125" style="5" customWidth="1"/>
    <col min="5899" max="5934" width="9.42578125" style="5"/>
    <col min="5935" max="5935" width="7" style="5" customWidth="1"/>
    <col min="5936" max="5936" width="23.5703125" style="5" customWidth="1"/>
    <col min="5937" max="5937" width="15" style="5" customWidth="1"/>
    <col min="5938" max="5938" width="29.42578125" style="5" customWidth="1"/>
    <col min="5939" max="5956" width="9.42578125" style="5"/>
    <col min="5957" max="5957" width="12.5703125" style="5" customWidth="1"/>
    <col min="5958" max="5958" width="12.7109375" style="5" customWidth="1"/>
    <col min="5959" max="5959" width="15.5703125" style="5" customWidth="1"/>
    <col min="5960" max="5960" width="11.85546875" style="5" customWidth="1"/>
    <col min="5961" max="5961" width="12.42578125" style="5" customWidth="1"/>
    <col min="5962" max="5962" width="12" style="5" customWidth="1"/>
    <col min="5963" max="6144" width="9.42578125" style="5"/>
    <col min="6145" max="6145" width="30.7109375" style="5" customWidth="1"/>
    <col min="6146" max="6146" width="28.7109375" style="5" customWidth="1"/>
    <col min="6147" max="6147" width="31.28515625" style="5" customWidth="1"/>
    <col min="6148" max="6148" width="10.140625" style="5" customWidth="1"/>
    <col min="6149" max="6149" width="34" style="5" customWidth="1"/>
    <col min="6150" max="6150" width="11.28515625" style="5" customWidth="1"/>
    <col min="6151" max="6151" width="3.140625" style="5" customWidth="1"/>
    <col min="6152" max="6152" width="15.28515625" style="5" customWidth="1"/>
    <col min="6153" max="6153" width="13.7109375" style="5" customWidth="1"/>
    <col min="6154" max="6154" width="24.42578125" style="5" customWidth="1"/>
    <col min="6155" max="6190" width="9.42578125" style="5"/>
    <col min="6191" max="6191" width="7" style="5" customWidth="1"/>
    <col min="6192" max="6192" width="23.5703125" style="5" customWidth="1"/>
    <col min="6193" max="6193" width="15" style="5" customWidth="1"/>
    <col min="6194" max="6194" width="29.42578125" style="5" customWidth="1"/>
    <col min="6195" max="6212" width="9.42578125" style="5"/>
    <col min="6213" max="6213" width="12.5703125" style="5" customWidth="1"/>
    <col min="6214" max="6214" width="12.7109375" style="5" customWidth="1"/>
    <col min="6215" max="6215" width="15.5703125" style="5" customWidth="1"/>
    <col min="6216" max="6216" width="11.85546875" style="5" customWidth="1"/>
    <col min="6217" max="6217" width="12.42578125" style="5" customWidth="1"/>
    <col min="6218" max="6218" width="12" style="5" customWidth="1"/>
    <col min="6219" max="6400" width="9.42578125" style="5"/>
    <col min="6401" max="6401" width="30.7109375" style="5" customWidth="1"/>
    <col min="6402" max="6402" width="28.7109375" style="5" customWidth="1"/>
    <col min="6403" max="6403" width="31.28515625" style="5" customWidth="1"/>
    <col min="6404" max="6404" width="10.140625" style="5" customWidth="1"/>
    <col min="6405" max="6405" width="34" style="5" customWidth="1"/>
    <col min="6406" max="6406" width="11.28515625" style="5" customWidth="1"/>
    <col min="6407" max="6407" width="3.140625" style="5" customWidth="1"/>
    <col min="6408" max="6408" width="15.28515625" style="5" customWidth="1"/>
    <col min="6409" max="6409" width="13.7109375" style="5" customWidth="1"/>
    <col min="6410" max="6410" width="24.42578125" style="5" customWidth="1"/>
    <col min="6411" max="6446" width="9.42578125" style="5"/>
    <col min="6447" max="6447" width="7" style="5" customWidth="1"/>
    <col min="6448" max="6448" width="23.5703125" style="5" customWidth="1"/>
    <col min="6449" max="6449" width="15" style="5" customWidth="1"/>
    <col min="6450" max="6450" width="29.42578125" style="5" customWidth="1"/>
    <col min="6451" max="6468" width="9.42578125" style="5"/>
    <col min="6469" max="6469" width="12.5703125" style="5" customWidth="1"/>
    <col min="6470" max="6470" width="12.7109375" style="5" customWidth="1"/>
    <col min="6471" max="6471" width="15.5703125" style="5" customWidth="1"/>
    <col min="6472" max="6472" width="11.85546875" style="5" customWidth="1"/>
    <col min="6473" max="6473" width="12.42578125" style="5" customWidth="1"/>
    <col min="6474" max="6474" width="12" style="5" customWidth="1"/>
    <col min="6475" max="6656" width="9.42578125" style="5"/>
    <col min="6657" max="6657" width="30.7109375" style="5" customWidth="1"/>
    <col min="6658" max="6658" width="28.7109375" style="5" customWidth="1"/>
    <col min="6659" max="6659" width="31.28515625" style="5" customWidth="1"/>
    <col min="6660" max="6660" width="10.140625" style="5" customWidth="1"/>
    <col min="6661" max="6661" width="34" style="5" customWidth="1"/>
    <col min="6662" max="6662" width="11.28515625" style="5" customWidth="1"/>
    <col min="6663" max="6663" width="3.140625" style="5" customWidth="1"/>
    <col min="6664" max="6664" width="15.28515625" style="5" customWidth="1"/>
    <col min="6665" max="6665" width="13.7109375" style="5" customWidth="1"/>
    <col min="6666" max="6666" width="24.42578125" style="5" customWidth="1"/>
    <col min="6667" max="6702" width="9.42578125" style="5"/>
    <col min="6703" max="6703" width="7" style="5" customWidth="1"/>
    <col min="6704" max="6704" width="23.5703125" style="5" customWidth="1"/>
    <col min="6705" max="6705" width="15" style="5" customWidth="1"/>
    <col min="6706" max="6706" width="29.42578125" style="5" customWidth="1"/>
    <col min="6707" max="6724" width="9.42578125" style="5"/>
    <col min="6725" max="6725" width="12.5703125" style="5" customWidth="1"/>
    <col min="6726" max="6726" width="12.7109375" style="5" customWidth="1"/>
    <col min="6727" max="6727" width="15.5703125" style="5" customWidth="1"/>
    <col min="6728" max="6728" width="11.85546875" style="5" customWidth="1"/>
    <col min="6729" max="6729" width="12.42578125" style="5" customWidth="1"/>
    <col min="6730" max="6730" width="12" style="5" customWidth="1"/>
    <col min="6731" max="6912" width="9.42578125" style="5"/>
    <col min="6913" max="6913" width="30.7109375" style="5" customWidth="1"/>
    <col min="6914" max="6914" width="28.7109375" style="5" customWidth="1"/>
    <col min="6915" max="6915" width="31.28515625" style="5" customWidth="1"/>
    <col min="6916" max="6916" width="10.140625" style="5" customWidth="1"/>
    <col min="6917" max="6917" width="34" style="5" customWidth="1"/>
    <col min="6918" max="6918" width="11.28515625" style="5" customWidth="1"/>
    <col min="6919" max="6919" width="3.140625" style="5" customWidth="1"/>
    <col min="6920" max="6920" width="15.28515625" style="5" customWidth="1"/>
    <col min="6921" max="6921" width="13.7109375" style="5" customWidth="1"/>
    <col min="6922" max="6922" width="24.42578125" style="5" customWidth="1"/>
    <col min="6923" max="6958" width="9.42578125" style="5"/>
    <col min="6959" max="6959" width="7" style="5" customWidth="1"/>
    <col min="6960" max="6960" width="23.5703125" style="5" customWidth="1"/>
    <col min="6961" max="6961" width="15" style="5" customWidth="1"/>
    <col min="6962" max="6962" width="29.42578125" style="5" customWidth="1"/>
    <col min="6963" max="6980" width="9.42578125" style="5"/>
    <col min="6981" max="6981" width="12.5703125" style="5" customWidth="1"/>
    <col min="6982" max="6982" width="12.7109375" style="5" customWidth="1"/>
    <col min="6983" max="6983" width="15.5703125" style="5" customWidth="1"/>
    <col min="6984" max="6984" width="11.85546875" style="5" customWidth="1"/>
    <col min="6985" max="6985" width="12.42578125" style="5" customWidth="1"/>
    <col min="6986" max="6986" width="12" style="5" customWidth="1"/>
    <col min="6987" max="7168" width="9.42578125" style="5"/>
    <col min="7169" max="7169" width="30.7109375" style="5" customWidth="1"/>
    <col min="7170" max="7170" width="28.7109375" style="5" customWidth="1"/>
    <col min="7171" max="7171" width="31.28515625" style="5" customWidth="1"/>
    <col min="7172" max="7172" width="10.140625" style="5" customWidth="1"/>
    <col min="7173" max="7173" width="34" style="5" customWidth="1"/>
    <col min="7174" max="7174" width="11.28515625" style="5" customWidth="1"/>
    <col min="7175" max="7175" width="3.140625" style="5" customWidth="1"/>
    <col min="7176" max="7176" width="15.28515625" style="5" customWidth="1"/>
    <col min="7177" max="7177" width="13.7109375" style="5" customWidth="1"/>
    <col min="7178" max="7178" width="24.42578125" style="5" customWidth="1"/>
    <col min="7179" max="7214" width="9.42578125" style="5"/>
    <col min="7215" max="7215" width="7" style="5" customWidth="1"/>
    <col min="7216" max="7216" width="23.5703125" style="5" customWidth="1"/>
    <col min="7217" max="7217" width="15" style="5" customWidth="1"/>
    <col min="7218" max="7218" width="29.42578125" style="5" customWidth="1"/>
    <col min="7219" max="7236" width="9.42578125" style="5"/>
    <col min="7237" max="7237" width="12.5703125" style="5" customWidth="1"/>
    <col min="7238" max="7238" width="12.7109375" style="5" customWidth="1"/>
    <col min="7239" max="7239" width="15.5703125" style="5" customWidth="1"/>
    <col min="7240" max="7240" width="11.85546875" style="5" customWidth="1"/>
    <col min="7241" max="7241" width="12.42578125" style="5" customWidth="1"/>
    <col min="7242" max="7242" width="12" style="5" customWidth="1"/>
    <col min="7243" max="7424" width="9.42578125" style="5"/>
    <col min="7425" max="7425" width="30.7109375" style="5" customWidth="1"/>
    <col min="7426" max="7426" width="28.7109375" style="5" customWidth="1"/>
    <col min="7427" max="7427" width="31.28515625" style="5" customWidth="1"/>
    <col min="7428" max="7428" width="10.140625" style="5" customWidth="1"/>
    <col min="7429" max="7429" width="34" style="5" customWidth="1"/>
    <col min="7430" max="7430" width="11.28515625" style="5" customWidth="1"/>
    <col min="7431" max="7431" width="3.140625" style="5" customWidth="1"/>
    <col min="7432" max="7432" width="15.28515625" style="5" customWidth="1"/>
    <col min="7433" max="7433" width="13.7109375" style="5" customWidth="1"/>
    <col min="7434" max="7434" width="24.42578125" style="5" customWidth="1"/>
    <col min="7435" max="7470" width="9.42578125" style="5"/>
    <col min="7471" max="7471" width="7" style="5" customWidth="1"/>
    <col min="7472" max="7472" width="23.5703125" style="5" customWidth="1"/>
    <col min="7473" max="7473" width="15" style="5" customWidth="1"/>
    <col min="7474" max="7474" width="29.42578125" style="5" customWidth="1"/>
    <col min="7475" max="7492" width="9.42578125" style="5"/>
    <col min="7493" max="7493" width="12.5703125" style="5" customWidth="1"/>
    <col min="7494" max="7494" width="12.7109375" style="5" customWidth="1"/>
    <col min="7495" max="7495" width="15.5703125" style="5" customWidth="1"/>
    <col min="7496" max="7496" width="11.85546875" style="5" customWidth="1"/>
    <col min="7497" max="7497" width="12.42578125" style="5" customWidth="1"/>
    <col min="7498" max="7498" width="12" style="5" customWidth="1"/>
    <col min="7499" max="7680" width="9.42578125" style="5"/>
    <col min="7681" max="7681" width="30.7109375" style="5" customWidth="1"/>
    <col min="7682" max="7682" width="28.7109375" style="5" customWidth="1"/>
    <col min="7683" max="7683" width="31.28515625" style="5" customWidth="1"/>
    <col min="7684" max="7684" width="10.140625" style="5" customWidth="1"/>
    <col min="7685" max="7685" width="34" style="5" customWidth="1"/>
    <col min="7686" max="7686" width="11.28515625" style="5" customWidth="1"/>
    <col min="7687" max="7687" width="3.140625" style="5" customWidth="1"/>
    <col min="7688" max="7688" width="15.28515625" style="5" customWidth="1"/>
    <col min="7689" max="7689" width="13.7109375" style="5" customWidth="1"/>
    <col min="7690" max="7690" width="24.42578125" style="5" customWidth="1"/>
    <col min="7691" max="7726" width="9.42578125" style="5"/>
    <col min="7727" max="7727" width="7" style="5" customWidth="1"/>
    <col min="7728" max="7728" width="23.5703125" style="5" customWidth="1"/>
    <col min="7729" max="7729" width="15" style="5" customWidth="1"/>
    <col min="7730" max="7730" width="29.42578125" style="5" customWidth="1"/>
    <col min="7731" max="7748" width="9.42578125" style="5"/>
    <col min="7749" max="7749" width="12.5703125" style="5" customWidth="1"/>
    <col min="7750" max="7750" width="12.7109375" style="5" customWidth="1"/>
    <col min="7751" max="7751" width="15.5703125" style="5" customWidth="1"/>
    <col min="7752" max="7752" width="11.85546875" style="5" customWidth="1"/>
    <col min="7753" max="7753" width="12.42578125" style="5" customWidth="1"/>
    <col min="7754" max="7754" width="12" style="5" customWidth="1"/>
    <col min="7755" max="7936" width="9.42578125" style="5"/>
    <col min="7937" max="7937" width="30.7109375" style="5" customWidth="1"/>
    <col min="7938" max="7938" width="28.7109375" style="5" customWidth="1"/>
    <col min="7939" max="7939" width="31.28515625" style="5" customWidth="1"/>
    <col min="7940" max="7940" width="10.140625" style="5" customWidth="1"/>
    <col min="7941" max="7941" width="34" style="5" customWidth="1"/>
    <col min="7942" max="7942" width="11.28515625" style="5" customWidth="1"/>
    <col min="7943" max="7943" width="3.140625" style="5" customWidth="1"/>
    <col min="7944" max="7944" width="15.28515625" style="5" customWidth="1"/>
    <col min="7945" max="7945" width="13.7109375" style="5" customWidth="1"/>
    <col min="7946" max="7946" width="24.42578125" style="5" customWidth="1"/>
    <col min="7947" max="7982" width="9.42578125" style="5"/>
    <col min="7983" max="7983" width="7" style="5" customWidth="1"/>
    <col min="7984" max="7984" width="23.5703125" style="5" customWidth="1"/>
    <col min="7985" max="7985" width="15" style="5" customWidth="1"/>
    <col min="7986" max="7986" width="29.42578125" style="5" customWidth="1"/>
    <col min="7987" max="8004" width="9.42578125" style="5"/>
    <col min="8005" max="8005" width="12.5703125" style="5" customWidth="1"/>
    <col min="8006" max="8006" width="12.7109375" style="5" customWidth="1"/>
    <col min="8007" max="8007" width="15.5703125" style="5" customWidth="1"/>
    <col min="8008" max="8008" width="11.85546875" style="5" customWidth="1"/>
    <col min="8009" max="8009" width="12.42578125" style="5" customWidth="1"/>
    <col min="8010" max="8010" width="12" style="5" customWidth="1"/>
    <col min="8011" max="8192" width="9.42578125" style="5"/>
    <col min="8193" max="8193" width="30.7109375" style="5" customWidth="1"/>
    <col min="8194" max="8194" width="28.7109375" style="5" customWidth="1"/>
    <col min="8195" max="8195" width="31.28515625" style="5" customWidth="1"/>
    <col min="8196" max="8196" width="10.140625" style="5" customWidth="1"/>
    <col min="8197" max="8197" width="34" style="5" customWidth="1"/>
    <col min="8198" max="8198" width="11.28515625" style="5" customWidth="1"/>
    <col min="8199" max="8199" width="3.140625" style="5" customWidth="1"/>
    <col min="8200" max="8200" width="15.28515625" style="5" customWidth="1"/>
    <col min="8201" max="8201" width="13.7109375" style="5" customWidth="1"/>
    <col min="8202" max="8202" width="24.42578125" style="5" customWidth="1"/>
    <col min="8203" max="8238" width="9.42578125" style="5"/>
    <col min="8239" max="8239" width="7" style="5" customWidth="1"/>
    <col min="8240" max="8240" width="23.5703125" style="5" customWidth="1"/>
    <col min="8241" max="8241" width="15" style="5" customWidth="1"/>
    <col min="8242" max="8242" width="29.42578125" style="5" customWidth="1"/>
    <col min="8243" max="8260" width="9.42578125" style="5"/>
    <col min="8261" max="8261" width="12.5703125" style="5" customWidth="1"/>
    <col min="8262" max="8262" width="12.7109375" style="5" customWidth="1"/>
    <col min="8263" max="8263" width="15.5703125" style="5" customWidth="1"/>
    <col min="8264" max="8264" width="11.85546875" style="5" customWidth="1"/>
    <col min="8265" max="8265" width="12.42578125" style="5" customWidth="1"/>
    <col min="8266" max="8266" width="12" style="5" customWidth="1"/>
    <col min="8267" max="8448" width="9.42578125" style="5"/>
    <col min="8449" max="8449" width="30.7109375" style="5" customWidth="1"/>
    <col min="8450" max="8450" width="28.7109375" style="5" customWidth="1"/>
    <col min="8451" max="8451" width="31.28515625" style="5" customWidth="1"/>
    <col min="8452" max="8452" width="10.140625" style="5" customWidth="1"/>
    <col min="8453" max="8453" width="34" style="5" customWidth="1"/>
    <col min="8454" max="8454" width="11.28515625" style="5" customWidth="1"/>
    <col min="8455" max="8455" width="3.140625" style="5" customWidth="1"/>
    <col min="8456" max="8456" width="15.28515625" style="5" customWidth="1"/>
    <col min="8457" max="8457" width="13.7109375" style="5" customWidth="1"/>
    <col min="8458" max="8458" width="24.42578125" style="5" customWidth="1"/>
    <col min="8459" max="8494" width="9.42578125" style="5"/>
    <col min="8495" max="8495" width="7" style="5" customWidth="1"/>
    <col min="8496" max="8496" width="23.5703125" style="5" customWidth="1"/>
    <col min="8497" max="8497" width="15" style="5" customWidth="1"/>
    <col min="8498" max="8498" width="29.42578125" style="5" customWidth="1"/>
    <col min="8499" max="8516" width="9.42578125" style="5"/>
    <col min="8517" max="8517" width="12.5703125" style="5" customWidth="1"/>
    <col min="8518" max="8518" width="12.7109375" style="5" customWidth="1"/>
    <col min="8519" max="8519" width="15.5703125" style="5" customWidth="1"/>
    <col min="8520" max="8520" width="11.85546875" style="5" customWidth="1"/>
    <col min="8521" max="8521" width="12.42578125" style="5" customWidth="1"/>
    <col min="8522" max="8522" width="12" style="5" customWidth="1"/>
    <col min="8523" max="8704" width="9.42578125" style="5"/>
    <col min="8705" max="8705" width="30.7109375" style="5" customWidth="1"/>
    <col min="8706" max="8706" width="28.7109375" style="5" customWidth="1"/>
    <col min="8707" max="8707" width="31.28515625" style="5" customWidth="1"/>
    <col min="8708" max="8708" width="10.140625" style="5" customWidth="1"/>
    <col min="8709" max="8709" width="34" style="5" customWidth="1"/>
    <col min="8710" max="8710" width="11.28515625" style="5" customWidth="1"/>
    <col min="8711" max="8711" width="3.140625" style="5" customWidth="1"/>
    <col min="8712" max="8712" width="15.28515625" style="5" customWidth="1"/>
    <col min="8713" max="8713" width="13.7109375" style="5" customWidth="1"/>
    <col min="8714" max="8714" width="24.42578125" style="5" customWidth="1"/>
    <col min="8715" max="8750" width="9.42578125" style="5"/>
    <col min="8751" max="8751" width="7" style="5" customWidth="1"/>
    <col min="8752" max="8752" width="23.5703125" style="5" customWidth="1"/>
    <col min="8753" max="8753" width="15" style="5" customWidth="1"/>
    <col min="8754" max="8754" width="29.42578125" style="5" customWidth="1"/>
    <col min="8755" max="8772" width="9.42578125" style="5"/>
    <col min="8773" max="8773" width="12.5703125" style="5" customWidth="1"/>
    <col min="8774" max="8774" width="12.7109375" style="5" customWidth="1"/>
    <col min="8775" max="8775" width="15.5703125" style="5" customWidth="1"/>
    <col min="8776" max="8776" width="11.85546875" style="5" customWidth="1"/>
    <col min="8777" max="8777" width="12.42578125" style="5" customWidth="1"/>
    <col min="8778" max="8778" width="12" style="5" customWidth="1"/>
    <col min="8779" max="8960" width="9.42578125" style="5"/>
    <col min="8961" max="8961" width="30.7109375" style="5" customWidth="1"/>
    <col min="8962" max="8962" width="28.7109375" style="5" customWidth="1"/>
    <col min="8963" max="8963" width="31.28515625" style="5" customWidth="1"/>
    <col min="8964" max="8964" width="10.140625" style="5" customWidth="1"/>
    <col min="8965" max="8965" width="34" style="5" customWidth="1"/>
    <col min="8966" max="8966" width="11.28515625" style="5" customWidth="1"/>
    <col min="8967" max="8967" width="3.140625" style="5" customWidth="1"/>
    <col min="8968" max="8968" width="15.28515625" style="5" customWidth="1"/>
    <col min="8969" max="8969" width="13.7109375" style="5" customWidth="1"/>
    <col min="8970" max="8970" width="24.42578125" style="5" customWidth="1"/>
    <col min="8971" max="9006" width="9.42578125" style="5"/>
    <col min="9007" max="9007" width="7" style="5" customWidth="1"/>
    <col min="9008" max="9008" width="23.5703125" style="5" customWidth="1"/>
    <col min="9009" max="9009" width="15" style="5" customWidth="1"/>
    <col min="9010" max="9010" width="29.42578125" style="5" customWidth="1"/>
    <col min="9011" max="9028" width="9.42578125" style="5"/>
    <col min="9029" max="9029" width="12.5703125" style="5" customWidth="1"/>
    <col min="9030" max="9030" width="12.7109375" style="5" customWidth="1"/>
    <col min="9031" max="9031" width="15.5703125" style="5" customWidth="1"/>
    <col min="9032" max="9032" width="11.85546875" style="5" customWidth="1"/>
    <col min="9033" max="9033" width="12.42578125" style="5" customWidth="1"/>
    <col min="9034" max="9034" width="12" style="5" customWidth="1"/>
    <col min="9035" max="9216" width="9.42578125" style="5"/>
    <col min="9217" max="9217" width="30.7109375" style="5" customWidth="1"/>
    <col min="9218" max="9218" width="28.7109375" style="5" customWidth="1"/>
    <col min="9219" max="9219" width="31.28515625" style="5" customWidth="1"/>
    <col min="9220" max="9220" width="10.140625" style="5" customWidth="1"/>
    <col min="9221" max="9221" width="34" style="5" customWidth="1"/>
    <col min="9222" max="9222" width="11.28515625" style="5" customWidth="1"/>
    <col min="9223" max="9223" width="3.140625" style="5" customWidth="1"/>
    <col min="9224" max="9224" width="15.28515625" style="5" customWidth="1"/>
    <col min="9225" max="9225" width="13.7109375" style="5" customWidth="1"/>
    <col min="9226" max="9226" width="24.42578125" style="5" customWidth="1"/>
    <col min="9227" max="9262" width="9.42578125" style="5"/>
    <col min="9263" max="9263" width="7" style="5" customWidth="1"/>
    <col min="9264" max="9264" width="23.5703125" style="5" customWidth="1"/>
    <col min="9265" max="9265" width="15" style="5" customWidth="1"/>
    <col min="9266" max="9266" width="29.42578125" style="5" customWidth="1"/>
    <col min="9267" max="9284" width="9.42578125" style="5"/>
    <col min="9285" max="9285" width="12.5703125" style="5" customWidth="1"/>
    <col min="9286" max="9286" width="12.7109375" style="5" customWidth="1"/>
    <col min="9287" max="9287" width="15.5703125" style="5" customWidth="1"/>
    <col min="9288" max="9288" width="11.85546875" style="5" customWidth="1"/>
    <col min="9289" max="9289" width="12.42578125" style="5" customWidth="1"/>
    <col min="9290" max="9290" width="12" style="5" customWidth="1"/>
    <col min="9291" max="9472" width="9.42578125" style="5"/>
    <col min="9473" max="9473" width="30.7109375" style="5" customWidth="1"/>
    <col min="9474" max="9474" width="28.7109375" style="5" customWidth="1"/>
    <col min="9475" max="9475" width="31.28515625" style="5" customWidth="1"/>
    <col min="9476" max="9476" width="10.140625" style="5" customWidth="1"/>
    <col min="9477" max="9477" width="34" style="5" customWidth="1"/>
    <col min="9478" max="9478" width="11.28515625" style="5" customWidth="1"/>
    <col min="9479" max="9479" width="3.140625" style="5" customWidth="1"/>
    <col min="9480" max="9480" width="15.28515625" style="5" customWidth="1"/>
    <col min="9481" max="9481" width="13.7109375" style="5" customWidth="1"/>
    <col min="9482" max="9482" width="24.42578125" style="5" customWidth="1"/>
    <col min="9483" max="9518" width="9.42578125" style="5"/>
    <col min="9519" max="9519" width="7" style="5" customWidth="1"/>
    <col min="9520" max="9520" width="23.5703125" style="5" customWidth="1"/>
    <col min="9521" max="9521" width="15" style="5" customWidth="1"/>
    <col min="9522" max="9522" width="29.42578125" style="5" customWidth="1"/>
    <col min="9523" max="9540" width="9.42578125" style="5"/>
    <col min="9541" max="9541" width="12.5703125" style="5" customWidth="1"/>
    <col min="9542" max="9542" width="12.7109375" style="5" customWidth="1"/>
    <col min="9543" max="9543" width="15.5703125" style="5" customWidth="1"/>
    <col min="9544" max="9544" width="11.85546875" style="5" customWidth="1"/>
    <col min="9545" max="9545" width="12.42578125" style="5" customWidth="1"/>
    <col min="9546" max="9546" width="12" style="5" customWidth="1"/>
    <col min="9547" max="9728" width="9.42578125" style="5"/>
    <col min="9729" max="9729" width="30.7109375" style="5" customWidth="1"/>
    <col min="9730" max="9730" width="28.7109375" style="5" customWidth="1"/>
    <col min="9731" max="9731" width="31.28515625" style="5" customWidth="1"/>
    <col min="9732" max="9732" width="10.140625" style="5" customWidth="1"/>
    <col min="9733" max="9733" width="34" style="5" customWidth="1"/>
    <col min="9734" max="9734" width="11.28515625" style="5" customWidth="1"/>
    <col min="9735" max="9735" width="3.140625" style="5" customWidth="1"/>
    <col min="9736" max="9736" width="15.28515625" style="5" customWidth="1"/>
    <col min="9737" max="9737" width="13.7109375" style="5" customWidth="1"/>
    <col min="9738" max="9738" width="24.42578125" style="5" customWidth="1"/>
    <col min="9739" max="9774" width="9.42578125" style="5"/>
    <col min="9775" max="9775" width="7" style="5" customWidth="1"/>
    <col min="9776" max="9776" width="23.5703125" style="5" customWidth="1"/>
    <col min="9777" max="9777" width="15" style="5" customWidth="1"/>
    <col min="9778" max="9778" width="29.42578125" style="5" customWidth="1"/>
    <col min="9779" max="9796" width="9.42578125" style="5"/>
    <col min="9797" max="9797" width="12.5703125" style="5" customWidth="1"/>
    <col min="9798" max="9798" width="12.7109375" style="5" customWidth="1"/>
    <col min="9799" max="9799" width="15.5703125" style="5" customWidth="1"/>
    <col min="9800" max="9800" width="11.85546875" style="5" customWidth="1"/>
    <col min="9801" max="9801" width="12.42578125" style="5" customWidth="1"/>
    <col min="9802" max="9802" width="12" style="5" customWidth="1"/>
    <col min="9803" max="9984" width="9.42578125" style="5"/>
    <col min="9985" max="9985" width="30.7109375" style="5" customWidth="1"/>
    <col min="9986" max="9986" width="28.7109375" style="5" customWidth="1"/>
    <col min="9987" max="9987" width="31.28515625" style="5" customWidth="1"/>
    <col min="9988" max="9988" width="10.140625" style="5" customWidth="1"/>
    <col min="9989" max="9989" width="34" style="5" customWidth="1"/>
    <col min="9990" max="9990" width="11.28515625" style="5" customWidth="1"/>
    <col min="9991" max="9991" width="3.140625" style="5" customWidth="1"/>
    <col min="9992" max="9992" width="15.28515625" style="5" customWidth="1"/>
    <col min="9993" max="9993" width="13.7109375" style="5" customWidth="1"/>
    <col min="9994" max="9994" width="24.42578125" style="5" customWidth="1"/>
    <col min="9995" max="10030" width="9.42578125" style="5"/>
    <col min="10031" max="10031" width="7" style="5" customWidth="1"/>
    <col min="10032" max="10032" width="23.5703125" style="5" customWidth="1"/>
    <col min="10033" max="10033" width="15" style="5" customWidth="1"/>
    <col min="10034" max="10034" width="29.42578125" style="5" customWidth="1"/>
    <col min="10035" max="10052" width="9.42578125" style="5"/>
    <col min="10053" max="10053" width="12.5703125" style="5" customWidth="1"/>
    <col min="10054" max="10054" width="12.7109375" style="5" customWidth="1"/>
    <col min="10055" max="10055" width="15.5703125" style="5" customWidth="1"/>
    <col min="10056" max="10056" width="11.85546875" style="5" customWidth="1"/>
    <col min="10057" max="10057" width="12.42578125" style="5" customWidth="1"/>
    <col min="10058" max="10058" width="12" style="5" customWidth="1"/>
    <col min="10059" max="10240" width="9.42578125" style="5"/>
    <col min="10241" max="10241" width="30.7109375" style="5" customWidth="1"/>
    <col min="10242" max="10242" width="28.7109375" style="5" customWidth="1"/>
    <col min="10243" max="10243" width="31.28515625" style="5" customWidth="1"/>
    <col min="10244" max="10244" width="10.140625" style="5" customWidth="1"/>
    <col min="10245" max="10245" width="34" style="5" customWidth="1"/>
    <col min="10246" max="10246" width="11.28515625" style="5" customWidth="1"/>
    <col min="10247" max="10247" width="3.140625" style="5" customWidth="1"/>
    <col min="10248" max="10248" width="15.28515625" style="5" customWidth="1"/>
    <col min="10249" max="10249" width="13.7109375" style="5" customWidth="1"/>
    <col min="10250" max="10250" width="24.42578125" style="5" customWidth="1"/>
    <col min="10251" max="10286" width="9.42578125" style="5"/>
    <col min="10287" max="10287" width="7" style="5" customWidth="1"/>
    <col min="10288" max="10288" width="23.5703125" style="5" customWidth="1"/>
    <col min="10289" max="10289" width="15" style="5" customWidth="1"/>
    <col min="10290" max="10290" width="29.42578125" style="5" customWidth="1"/>
    <col min="10291" max="10308" width="9.42578125" style="5"/>
    <col min="10309" max="10309" width="12.5703125" style="5" customWidth="1"/>
    <col min="10310" max="10310" width="12.7109375" style="5" customWidth="1"/>
    <col min="10311" max="10311" width="15.5703125" style="5" customWidth="1"/>
    <col min="10312" max="10312" width="11.85546875" style="5" customWidth="1"/>
    <col min="10313" max="10313" width="12.42578125" style="5" customWidth="1"/>
    <col min="10314" max="10314" width="12" style="5" customWidth="1"/>
    <col min="10315" max="10496" width="9.42578125" style="5"/>
    <col min="10497" max="10497" width="30.7109375" style="5" customWidth="1"/>
    <col min="10498" max="10498" width="28.7109375" style="5" customWidth="1"/>
    <col min="10499" max="10499" width="31.28515625" style="5" customWidth="1"/>
    <col min="10500" max="10500" width="10.140625" style="5" customWidth="1"/>
    <col min="10501" max="10501" width="34" style="5" customWidth="1"/>
    <col min="10502" max="10502" width="11.28515625" style="5" customWidth="1"/>
    <col min="10503" max="10503" width="3.140625" style="5" customWidth="1"/>
    <col min="10504" max="10504" width="15.28515625" style="5" customWidth="1"/>
    <col min="10505" max="10505" width="13.7109375" style="5" customWidth="1"/>
    <col min="10506" max="10506" width="24.42578125" style="5" customWidth="1"/>
    <col min="10507" max="10542" width="9.42578125" style="5"/>
    <col min="10543" max="10543" width="7" style="5" customWidth="1"/>
    <col min="10544" max="10544" width="23.5703125" style="5" customWidth="1"/>
    <col min="10545" max="10545" width="15" style="5" customWidth="1"/>
    <col min="10546" max="10546" width="29.42578125" style="5" customWidth="1"/>
    <col min="10547" max="10564" width="9.42578125" style="5"/>
    <col min="10565" max="10565" width="12.5703125" style="5" customWidth="1"/>
    <col min="10566" max="10566" width="12.7109375" style="5" customWidth="1"/>
    <col min="10567" max="10567" width="15.5703125" style="5" customWidth="1"/>
    <col min="10568" max="10568" width="11.85546875" style="5" customWidth="1"/>
    <col min="10569" max="10569" width="12.42578125" style="5" customWidth="1"/>
    <col min="10570" max="10570" width="12" style="5" customWidth="1"/>
    <col min="10571" max="10752" width="9.42578125" style="5"/>
    <col min="10753" max="10753" width="30.7109375" style="5" customWidth="1"/>
    <col min="10754" max="10754" width="28.7109375" style="5" customWidth="1"/>
    <col min="10755" max="10755" width="31.28515625" style="5" customWidth="1"/>
    <col min="10756" max="10756" width="10.140625" style="5" customWidth="1"/>
    <col min="10757" max="10757" width="34" style="5" customWidth="1"/>
    <col min="10758" max="10758" width="11.28515625" style="5" customWidth="1"/>
    <col min="10759" max="10759" width="3.140625" style="5" customWidth="1"/>
    <col min="10760" max="10760" width="15.28515625" style="5" customWidth="1"/>
    <col min="10761" max="10761" width="13.7109375" style="5" customWidth="1"/>
    <col min="10762" max="10762" width="24.42578125" style="5" customWidth="1"/>
    <col min="10763" max="10798" width="9.42578125" style="5"/>
    <col min="10799" max="10799" width="7" style="5" customWidth="1"/>
    <col min="10800" max="10800" width="23.5703125" style="5" customWidth="1"/>
    <col min="10801" max="10801" width="15" style="5" customWidth="1"/>
    <col min="10802" max="10802" width="29.42578125" style="5" customWidth="1"/>
    <col min="10803" max="10820" width="9.42578125" style="5"/>
    <col min="10821" max="10821" width="12.5703125" style="5" customWidth="1"/>
    <col min="10822" max="10822" width="12.7109375" style="5" customWidth="1"/>
    <col min="10823" max="10823" width="15.5703125" style="5" customWidth="1"/>
    <col min="10824" max="10824" width="11.85546875" style="5" customWidth="1"/>
    <col min="10825" max="10825" width="12.42578125" style="5" customWidth="1"/>
    <col min="10826" max="10826" width="12" style="5" customWidth="1"/>
    <col min="10827" max="11008" width="9.42578125" style="5"/>
    <col min="11009" max="11009" width="30.7109375" style="5" customWidth="1"/>
    <col min="11010" max="11010" width="28.7109375" style="5" customWidth="1"/>
    <col min="11011" max="11011" width="31.28515625" style="5" customWidth="1"/>
    <col min="11012" max="11012" width="10.140625" style="5" customWidth="1"/>
    <col min="11013" max="11013" width="34" style="5" customWidth="1"/>
    <col min="11014" max="11014" width="11.28515625" style="5" customWidth="1"/>
    <col min="11015" max="11015" width="3.140625" style="5" customWidth="1"/>
    <col min="11016" max="11016" width="15.28515625" style="5" customWidth="1"/>
    <col min="11017" max="11017" width="13.7109375" style="5" customWidth="1"/>
    <col min="11018" max="11018" width="24.42578125" style="5" customWidth="1"/>
    <col min="11019" max="11054" width="9.42578125" style="5"/>
    <col min="11055" max="11055" width="7" style="5" customWidth="1"/>
    <col min="11056" max="11056" width="23.5703125" style="5" customWidth="1"/>
    <col min="11057" max="11057" width="15" style="5" customWidth="1"/>
    <col min="11058" max="11058" width="29.42578125" style="5" customWidth="1"/>
    <col min="11059" max="11076" width="9.42578125" style="5"/>
    <col min="11077" max="11077" width="12.5703125" style="5" customWidth="1"/>
    <col min="11078" max="11078" width="12.7109375" style="5" customWidth="1"/>
    <col min="11079" max="11079" width="15.5703125" style="5" customWidth="1"/>
    <col min="11080" max="11080" width="11.85546875" style="5" customWidth="1"/>
    <col min="11081" max="11081" width="12.42578125" style="5" customWidth="1"/>
    <col min="11082" max="11082" width="12" style="5" customWidth="1"/>
    <col min="11083" max="11264" width="9.42578125" style="5"/>
    <col min="11265" max="11265" width="30.7109375" style="5" customWidth="1"/>
    <col min="11266" max="11266" width="28.7109375" style="5" customWidth="1"/>
    <col min="11267" max="11267" width="31.28515625" style="5" customWidth="1"/>
    <col min="11268" max="11268" width="10.140625" style="5" customWidth="1"/>
    <col min="11269" max="11269" width="34" style="5" customWidth="1"/>
    <col min="11270" max="11270" width="11.28515625" style="5" customWidth="1"/>
    <col min="11271" max="11271" width="3.140625" style="5" customWidth="1"/>
    <col min="11272" max="11272" width="15.28515625" style="5" customWidth="1"/>
    <col min="11273" max="11273" width="13.7109375" style="5" customWidth="1"/>
    <col min="11274" max="11274" width="24.42578125" style="5" customWidth="1"/>
    <col min="11275" max="11310" width="9.42578125" style="5"/>
    <col min="11311" max="11311" width="7" style="5" customWidth="1"/>
    <col min="11312" max="11312" width="23.5703125" style="5" customWidth="1"/>
    <col min="11313" max="11313" width="15" style="5" customWidth="1"/>
    <col min="11314" max="11314" width="29.42578125" style="5" customWidth="1"/>
    <col min="11315" max="11332" width="9.42578125" style="5"/>
    <col min="11333" max="11333" width="12.5703125" style="5" customWidth="1"/>
    <col min="11334" max="11334" width="12.7109375" style="5" customWidth="1"/>
    <col min="11335" max="11335" width="15.5703125" style="5" customWidth="1"/>
    <col min="11336" max="11336" width="11.85546875" style="5" customWidth="1"/>
    <col min="11337" max="11337" width="12.42578125" style="5" customWidth="1"/>
    <col min="11338" max="11338" width="12" style="5" customWidth="1"/>
    <col min="11339" max="11520" width="9.42578125" style="5"/>
    <col min="11521" max="11521" width="30.7109375" style="5" customWidth="1"/>
    <col min="11522" max="11522" width="28.7109375" style="5" customWidth="1"/>
    <col min="11523" max="11523" width="31.28515625" style="5" customWidth="1"/>
    <col min="11524" max="11524" width="10.140625" style="5" customWidth="1"/>
    <col min="11525" max="11525" width="34" style="5" customWidth="1"/>
    <col min="11526" max="11526" width="11.28515625" style="5" customWidth="1"/>
    <col min="11527" max="11527" width="3.140625" style="5" customWidth="1"/>
    <col min="11528" max="11528" width="15.28515625" style="5" customWidth="1"/>
    <col min="11529" max="11529" width="13.7109375" style="5" customWidth="1"/>
    <col min="11530" max="11530" width="24.42578125" style="5" customWidth="1"/>
    <col min="11531" max="11566" width="9.42578125" style="5"/>
    <col min="11567" max="11567" width="7" style="5" customWidth="1"/>
    <col min="11568" max="11568" width="23.5703125" style="5" customWidth="1"/>
    <col min="11569" max="11569" width="15" style="5" customWidth="1"/>
    <col min="11570" max="11570" width="29.42578125" style="5" customWidth="1"/>
    <col min="11571" max="11588" width="9.42578125" style="5"/>
    <col min="11589" max="11589" width="12.5703125" style="5" customWidth="1"/>
    <col min="11590" max="11590" width="12.7109375" style="5" customWidth="1"/>
    <col min="11591" max="11591" width="15.5703125" style="5" customWidth="1"/>
    <col min="11592" max="11592" width="11.85546875" style="5" customWidth="1"/>
    <col min="11593" max="11593" width="12.42578125" style="5" customWidth="1"/>
    <col min="11594" max="11594" width="12" style="5" customWidth="1"/>
    <col min="11595" max="11776" width="9.42578125" style="5"/>
    <col min="11777" max="11777" width="30.7109375" style="5" customWidth="1"/>
    <col min="11778" max="11778" width="28.7109375" style="5" customWidth="1"/>
    <col min="11779" max="11779" width="31.28515625" style="5" customWidth="1"/>
    <col min="11780" max="11780" width="10.140625" style="5" customWidth="1"/>
    <col min="11781" max="11781" width="34" style="5" customWidth="1"/>
    <col min="11782" max="11782" width="11.28515625" style="5" customWidth="1"/>
    <col min="11783" max="11783" width="3.140625" style="5" customWidth="1"/>
    <col min="11784" max="11784" width="15.28515625" style="5" customWidth="1"/>
    <col min="11785" max="11785" width="13.7109375" style="5" customWidth="1"/>
    <col min="11786" max="11786" width="24.42578125" style="5" customWidth="1"/>
    <col min="11787" max="11822" width="9.42578125" style="5"/>
    <col min="11823" max="11823" width="7" style="5" customWidth="1"/>
    <col min="11824" max="11824" width="23.5703125" style="5" customWidth="1"/>
    <col min="11825" max="11825" width="15" style="5" customWidth="1"/>
    <col min="11826" max="11826" width="29.42578125" style="5" customWidth="1"/>
    <col min="11827" max="11844" width="9.42578125" style="5"/>
    <col min="11845" max="11845" width="12.5703125" style="5" customWidth="1"/>
    <col min="11846" max="11846" width="12.7109375" style="5" customWidth="1"/>
    <col min="11847" max="11847" width="15.5703125" style="5" customWidth="1"/>
    <col min="11848" max="11848" width="11.85546875" style="5" customWidth="1"/>
    <col min="11849" max="11849" width="12.42578125" style="5" customWidth="1"/>
    <col min="11850" max="11850" width="12" style="5" customWidth="1"/>
    <col min="11851" max="12032" width="9.42578125" style="5"/>
    <col min="12033" max="12033" width="30.7109375" style="5" customWidth="1"/>
    <col min="12034" max="12034" width="28.7109375" style="5" customWidth="1"/>
    <col min="12035" max="12035" width="31.28515625" style="5" customWidth="1"/>
    <col min="12036" max="12036" width="10.140625" style="5" customWidth="1"/>
    <col min="12037" max="12037" width="34" style="5" customWidth="1"/>
    <col min="12038" max="12038" width="11.28515625" style="5" customWidth="1"/>
    <col min="12039" max="12039" width="3.140625" style="5" customWidth="1"/>
    <col min="12040" max="12040" width="15.28515625" style="5" customWidth="1"/>
    <col min="12041" max="12041" width="13.7109375" style="5" customWidth="1"/>
    <col min="12042" max="12042" width="24.42578125" style="5" customWidth="1"/>
    <col min="12043" max="12078" width="9.42578125" style="5"/>
    <col min="12079" max="12079" width="7" style="5" customWidth="1"/>
    <col min="12080" max="12080" width="23.5703125" style="5" customWidth="1"/>
    <col min="12081" max="12081" width="15" style="5" customWidth="1"/>
    <col min="12082" max="12082" width="29.42578125" style="5" customWidth="1"/>
    <col min="12083" max="12100" width="9.42578125" style="5"/>
    <col min="12101" max="12101" width="12.5703125" style="5" customWidth="1"/>
    <col min="12102" max="12102" width="12.7109375" style="5" customWidth="1"/>
    <col min="12103" max="12103" width="15.5703125" style="5" customWidth="1"/>
    <col min="12104" max="12104" width="11.85546875" style="5" customWidth="1"/>
    <col min="12105" max="12105" width="12.42578125" style="5" customWidth="1"/>
    <col min="12106" max="12106" width="12" style="5" customWidth="1"/>
    <col min="12107" max="12288" width="9.42578125" style="5"/>
    <col min="12289" max="12289" width="30.7109375" style="5" customWidth="1"/>
    <col min="12290" max="12290" width="28.7109375" style="5" customWidth="1"/>
    <col min="12291" max="12291" width="31.28515625" style="5" customWidth="1"/>
    <col min="12292" max="12292" width="10.140625" style="5" customWidth="1"/>
    <col min="12293" max="12293" width="34" style="5" customWidth="1"/>
    <col min="12294" max="12294" width="11.28515625" style="5" customWidth="1"/>
    <col min="12295" max="12295" width="3.140625" style="5" customWidth="1"/>
    <col min="12296" max="12296" width="15.28515625" style="5" customWidth="1"/>
    <col min="12297" max="12297" width="13.7109375" style="5" customWidth="1"/>
    <col min="12298" max="12298" width="24.42578125" style="5" customWidth="1"/>
    <col min="12299" max="12334" width="9.42578125" style="5"/>
    <col min="12335" max="12335" width="7" style="5" customWidth="1"/>
    <col min="12336" max="12336" width="23.5703125" style="5" customWidth="1"/>
    <col min="12337" max="12337" width="15" style="5" customWidth="1"/>
    <col min="12338" max="12338" width="29.42578125" style="5" customWidth="1"/>
    <col min="12339" max="12356" width="9.42578125" style="5"/>
    <col min="12357" max="12357" width="12.5703125" style="5" customWidth="1"/>
    <col min="12358" max="12358" width="12.7109375" style="5" customWidth="1"/>
    <col min="12359" max="12359" width="15.5703125" style="5" customWidth="1"/>
    <col min="12360" max="12360" width="11.85546875" style="5" customWidth="1"/>
    <col min="12361" max="12361" width="12.42578125" style="5" customWidth="1"/>
    <col min="12362" max="12362" width="12" style="5" customWidth="1"/>
    <col min="12363" max="12544" width="9.42578125" style="5"/>
    <col min="12545" max="12545" width="30.7109375" style="5" customWidth="1"/>
    <col min="12546" max="12546" width="28.7109375" style="5" customWidth="1"/>
    <col min="12547" max="12547" width="31.28515625" style="5" customWidth="1"/>
    <col min="12548" max="12548" width="10.140625" style="5" customWidth="1"/>
    <col min="12549" max="12549" width="34" style="5" customWidth="1"/>
    <col min="12550" max="12550" width="11.28515625" style="5" customWidth="1"/>
    <col min="12551" max="12551" width="3.140625" style="5" customWidth="1"/>
    <col min="12552" max="12552" width="15.28515625" style="5" customWidth="1"/>
    <col min="12553" max="12553" width="13.7109375" style="5" customWidth="1"/>
    <col min="12554" max="12554" width="24.42578125" style="5" customWidth="1"/>
    <col min="12555" max="12590" width="9.42578125" style="5"/>
    <col min="12591" max="12591" width="7" style="5" customWidth="1"/>
    <col min="12592" max="12592" width="23.5703125" style="5" customWidth="1"/>
    <col min="12593" max="12593" width="15" style="5" customWidth="1"/>
    <col min="12594" max="12594" width="29.42578125" style="5" customWidth="1"/>
    <col min="12595" max="12612" width="9.42578125" style="5"/>
    <col min="12613" max="12613" width="12.5703125" style="5" customWidth="1"/>
    <col min="12614" max="12614" width="12.7109375" style="5" customWidth="1"/>
    <col min="12615" max="12615" width="15.5703125" style="5" customWidth="1"/>
    <col min="12616" max="12616" width="11.85546875" style="5" customWidth="1"/>
    <col min="12617" max="12617" width="12.42578125" style="5" customWidth="1"/>
    <col min="12618" max="12618" width="12" style="5" customWidth="1"/>
    <col min="12619" max="12800" width="9.42578125" style="5"/>
    <col min="12801" max="12801" width="30.7109375" style="5" customWidth="1"/>
    <col min="12802" max="12802" width="28.7109375" style="5" customWidth="1"/>
    <col min="12803" max="12803" width="31.28515625" style="5" customWidth="1"/>
    <col min="12804" max="12804" width="10.140625" style="5" customWidth="1"/>
    <col min="12805" max="12805" width="34" style="5" customWidth="1"/>
    <col min="12806" max="12806" width="11.28515625" style="5" customWidth="1"/>
    <col min="12807" max="12807" width="3.140625" style="5" customWidth="1"/>
    <col min="12808" max="12808" width="15.28515625" style="5" customWidth="1"/>
    <col min="12809" max="12809" width="13.7109375" style="5" customWidth="1"/>
    <col min="12810" max="12810" width="24.42578125" style="5" customWidth="1"/>
    <col min="12811" max="12846" width="9.42578125" style="5"/>
    <col min="12847" max="12847" width="7" style="5" customWidth="1"/>
    <col min="12848" max="12848" width="23.5703125" style="5" customWidth="1"/>
    <col min="12849" max="12849" width="15" style="5" customWidth="1"/>
    <col min="12850" max="12850" width="29.42578125" style="5" customWidth="1"/>
    <col min="12851" max="12868" width="9.42578125" style="5"/>
    <col min="12869" max="12869" width="12.5703125" style="5" customWidth="1"/>
    <col min="12870" max="12870" width="12.7109375" style="5" customWidth="1"/>
    <col min="12871" max="12871" width="15.5703125" style="5" customWidth="1"/>
    <col min="12872" max="12872" width="11.85546875" style="5" customWidth="1"/>
    <col min="12873" max="12873" width="12.42578125" style="5" customWidth="1"/>
    <col min="12874" max="12874" width="12" style="5" customWidth="1"/>
    <col min="12875" max="13056" width="9.42578125" style="5"/>
    <col min="13057" max="13057" width="30.7109375" style="5" customWidth="1"/>
    <col min="13058" max="13058" width="28.7109375" style="5" customWidth="1"/>
    <col min="13059" max="13059" width="31.28515625" style="5" customWidth="1"/>
    <col min="13060" max="13060" width="10.140625" style="5" customWidth="1"/>
    <col min="13061" max="13061" width="34" style="5" customWidth="1"/>
    <col min="13062" max="13062" width="11.28515625" style="5" customWidth="1"/>
    <col min="13063" max="13063" width="3.140625" style="5" customWidth="1"/>
    <col min="13064" max="13064" width="15.28515625" style="5" customWidth="1"/>
    <col min="13065" max="13065" width="13.7109375" style="5" customWidth="1"/>
    <col min="13066" max="13066" width="24.42578125" style="5" customWidth="1"/>
    <col min="13067" max="13102" width="9.42578125" style="5"/>
    <col min="13103" max="13103" width="7" style="5" customWidth="1"/>
    <col min="13104" max="13104" width="23.5703125" style="5" customWidth="1"/>
    <col min="13105" max="13105" width="15" style="5" customWidth="1"/>
    <col min="13106" max="13106" width="29.42578125" style="5" customWidth="1"/>
    <col min="13107" max="13124" width="9.42578125" style="5"/>
    <col min="13125" max="13125" width="12.5703125" style="5" customWidth="1"/>
    <col min="13126" max="13126" width="12.7109375" style="5" customWidth="1"/>
    <col min="13127" max="13127" width="15.5703125" style="5" customWidth="1"/>
    <col min="13128" max="13128" width="11.85546875" style="5" customWidth="1"/>
    <col min="13129" max="13129" width="12.42578125" style="5" customWidth="1"/>
    <col min="13130" max="13130" width="12" style="5" customWidth="1"/>
    <col min="13131" max="13312" width="9.42578125" style="5"/>
    <col min="13313" max="13313" width="30.7109375" style="5" customWidth="1"/>
    <col min="13314" max="13314" width="28.7109375" style="5" customWidth="1"/>
    <col min="13315" max="13315" width="31.28515625" style="5" customWidth="1"/>
    <col min="13316" max="13316" width="10.140625" style="5" customWidth="1"/>
    <col min="13317" max="13317" width="34" style="5" customWidth="1"/>
    <col min="13318" max="13318" width="11.28515625" style="5" customWidth="1"/>
    <col min="13319" max="13319" width="3.140625" style="5" customWidth="1"/>
    <col min="13320" max="13320" width="15.28515625" style="5" customWidth="1"/>
    <col min="13321" max="13321" width="13.7109375" style="5" customWidth="1"/>
    <col min="13322" max="13322" width="24.42578125" style="5" customWidth="1"/>
    <col min="13323" max="13358" width="9.42578125" style="5"/>
    <col min="13359" max="13359" width="7" style="5" customWidth="1"/>
    <col min="13360" max="13360" width="23.5703125" style="5" customWidth="1"/>
    <col min="13361" max="13361" width="15" style="5" customWidth="1"/>
    <col min="13362" max="13362" width="29.42578125" style="5" customWidth="1"/>
    <col min="13363" max="13380" width="9.42578125" style="5"/>
    <col min="13381" max="13381" width="12.5703125" style="5" customWidth="1"/>
    <col min="13382" max="13382" width="12.7109375" style="5" customWidth="1"/>
    <col min="13383" max="13383" width="15.5703125" style="5" customWidth="1"/>
    <col min="13384" max="13384" width="11.85546875" style="5" customWidth="1"/>
    <col min="13385" max="13385" width="12.42578125" style="5" customWidth="1"/>
    <col min="13386" max="13386" width="12" style="5" customWidth="1"/>
    <col min="13387" max="13568" width="9.42578125" style="5"/>
    <col min="13569" max="13569" width="30.7109375" style="5" customWidth="1"/>
    <col min="13570" max="13570" width="28.7109375" style="5" customWidth="1"/>
    <col min="13571" max="13571" width="31.28515625" style="5" customWidth="1"/>
    <col min="13572" max="13572" width="10.140625" style="5" customWidth="1"/>
    <col min="13573" max="13573" width="34" style="5" customWidth="1"/>
    <col min="13574" max="13574" width="11.28515625" style="5" customWidth="1"/>
    <col min="13575" max="13575" width="3.140625" style="5" customWidth="1"/>
    <col min="13576" max="13576" width="15.28515625" style="5" customWidth="1"/>
    <col min="13577" max="13577" width="13.7109375" style="5" customWidth="1"/>
    <col min="13578" max="13578" width="24.42578125" style="5" customWidth="1"/>
    <col min="13579" max="13614" width="9.42578125" style="5"/>
    <col min="13615" max="13615" width="7" style="5" customWidth="1"/>
    <col min="13616" max="13616" width="23.5703125" style="5" customWidth="1"/>
    <col min="13617" max="13617" width="15" style="5" customWidth="1"/>
    <col min="13618" max="13618" width="29.42578125" style="5" customWidth="1"/>
    <col min="13619" max="13636" width="9.42578125" style="5"/>
    <col min="13637" max="13637" width="12.5703125" style="5" customWidth="1"/>
    <col min="13638" max="13638" width="12.7109375" style="5" customWidth="1"/>
    <col min="13639" max="13639" width="15.5703125" style="5" customWidth="1"/>
    <col min="13640" max="13640" width="11.85546875" style="5" customWidth="1"/>
    <col min="13641" max="13641" width="12.42578125" style="5" customWidth="1"/>
    <col min="13642" max="13642" width="12" style="5" customWidth="1"/>
    <col min="13643" max="13824" width="9.42578125" style="5"/>
    <col min="13825" max="13825" width="30.7109375" style="5" customWidth="1"/>
    <col min="13826" max="13826" width="28.7109375" style="5" customWidth="1"/>
    <col min="13827" max="13827" width="31.28515625" style="5" customWidth="1"/>
    <col min="13828" max="13828" width="10.140625" style="5" customWidth="1"/>
    <col min="13829" max="13829" width="34" style="5" customWidth="1"/>
    <col min="13830" max="13830" width="11.28515625" style="5" customWidth="1"/>
    <col min="13831" max="13831" width="3.140625" style="5" customWidth="1"/>
    <col min="13832" max="13832" width="15.28515625" style="5" customWidth="1"/>
    <col min="13833" max="13833" width="13.7109375" style="5" customWidth="1"/>
    <col min="13834" max="13834" width="24.42578125" style="5" customWidth="1"/>
    <col min="13835" max="13870" width="9.42578125" style="5"/>
    <col min="13871" max="13871" width="7" style="5" customWidth="1"/>
    <col min="13872" max="13872" width="23.5703125" style="5" customWidth="1"/>
    <col min="13873" max="13873" width="15" style="5" customWidth="1"/>
    <col min="13874" max="13874" width="29.42578125" style="5" customWidth="1"/>
    <col min="13875" max="13892" width="9.42578125" style="5"/>
    <col min="13893" max="13893" width="12.5703125" style="5" customWidth="1"/>
    <col min="13894" max="13894" width="12.7109375" style="5" customWidth="1"/>
    <col min="13895" max="13895" width="15.5703125" style="5" customWidth="1"/>
    <col min="13896" max="13896" width="11.85546875" style="5" customWidth="1"/>
    <col min="13897" max="13897" width="12.42578125" style="5" customWidth="1"/>
    <col min="13898" max="13898" width="12" style="5" customWidth="1"/>
    <col min="13899" max="14080" width="9.42578125" style="5"/>
    <col min="14081" max="14081" width="30.7109375" style="5" customWidth="1"/>
    <col min="14082" max="14082" width="28.7109375" style="5" customWidth="1"/>
    <col min="14083" max="14083" width="31.28515625" style="5" customWidth="1"/>
    <col min="14084" max="14084" width="10.140625" style="5" customWidth="1"/>
    <col min="14085" max="14085" width="34" style="5" customWidth="1"/>
    <col min="14086" max="14086" width="11.28515625" style="5" customWidth="1"/>
    <col min="14087" max="14087" width="3.140625" style="5" customWidth="1"/>
    <col min="14088" max="14088" width="15.28515625" style="5" customWidth="1"/>
    <col min="14089" max="14089" width="13.7109375" style="5" customWidth="1"/>
    <col min="14090" max="14090" width="24.42578125" style="5" customWidth="1"/>
    <col min="14091" max="14126" width="9.42578125" style="5"/>
    <col min="14127" max="14127" width="7" style="5" customWidth="1"/>
    <col min="14128" max="14128" width="23.5703125" style="5" customWidth="1"/>
    <col min="14129" max="14129" width="15" style="5" customWidth="1"/>
    <col min="14130" max="14130" width="29.42578125" style="5" customWidth="1"/>
    <col min="14131" max="14148" width="9.42578125" style="5"/>
    <col min="14149" max="14149" width="12.5703125" style="5" customWidth="1"/>
    <col min="14150" max="14150" width="12.7109375" style="5" customWidth="1"/>
    <col min="14151" max="14151" width="15.5703125" style="5" customWidth="1"/>
    <col min="14152" max="14152" width="11.85546875" style="5" customWidth="1"/>
    <col min="14153" max="14153" width="12.42578125" style="5" customWidth="1"/>
    <col min="14154" max="14154" width="12" style="5" customWidth="1"/>
    <col min="14155" max="14336" width="9.42578125" style="5"/>
    <col min="14337" max="14337" width="30.7109375" style="5" customWidth="1"/>
    <col min="14338" max="14338" width="28.7109375" style="5" customWidth="1"/>
    <col min="14339" max="14339" width="31.28515625" style="5" customWidth="1"/>
    <col min="14340" max="14340" width="10.140625" style="5" customWidth="1"/>
    <col min="14341" max="14341" width="34" style="5" customWidth="1"/>
    <col min="14342" max="14342" width="11.28515625" style="5" customWidth="1"/>
    <col min="14343" max="14343" width="3.140625" style="5" customWidth="1"/>
    <col min="14344" max="14344" width="15.28515625" style="5" customWidth="1"/>
    <col min="14345" max="14345" width="13.7109375" style="5" customWidth="1"/>
    <col min="14346" max="14346" width="24.42578125" style="5" customWidth="1"/>
    <col min="14347" max="14382" width="9.42578125" style="5"/>
    <col min="14383" max="14383" width="7" style="5" customWidth="1"/>
    <col min="14384" max="14384" width="23.5703125" style="5" customWidth="1"/>
    <col min="14385" max="14385" width="15" style="5" customWidth="1"/>
    <col min="14386" max="14386" width="29.42578125" style="5" customWidth="1"/>
    <col min="14387" max="14404" width="9.42578125" style="5"/>
    <col min="14405" max="14405" width="12.5703125" style="5" customWidth="1"/>
    <col min="14406" max="14406" width="12.7109375" style="5" customWidth="1"/>
    <col min="14407" max="14407" width="15.5703125" style="5" customWidth="1"/>
    <col min="14408" max="14408" width="11.85546875" style="5" customWidth="1"/>
    <col min="14409" max="14409" width="12.42578125" style="5" customWidth="1"/>
    <col min="14410" max="14410" width="12" style="5" customWidth="1"/>
    <col min="14411" max="14592" width="9.42578125" style="5"/>
    <col min="14593" max="14593" width="30.7109375" style="5" customWidth="1"/>
    <col min="14594" max="14594" width="28.7109375" style="5" customWidth="1"/>
    <col min="14595" max="14595" width="31.28515625" style="5" customWidth="1"/>
    <col min="14596" max="14596" width="10.140625" style="5" customWidth="1"/>
    <col min="14597" max="14597" width="34" style="5" customWidth="1"/>
    <col min="14598" max="14598" width="11.28515625" style="5" customWidth="1"/>
    <col min="14599" max="14599" width="3.140625" style="5" customWidth="1"/>
    <col min="14600" max="14600" width="15.28515625" style="5" customWidth="1"/>
    <col min="14601" max="14601" width="13.7109375" style="5" customWidth="1"/>
    <col min="14602" max="14602" width="24.42578125" style="5" customWidth="1"/>
    <col min="14603" max="14638" width="9.42578125" style="5"/>
    <col min="14639" max="14639" width="7" style="5" customWidth="1"/>
    <col min="14640" max="14640" width="23.5703125" style="5" customWidth="1"/>
    <col min="14641" max="14641" width="15" style="5" customWidth="1"/>
    <col min="14642" max="14642" width="29.42578125" style="5" customWidth="1"/>
    <col min="14643" max="14660" width="9.42578125" style="5"/>
    <col min="14661" max="14661" width="12.5703125" style="5" customWidth="1"/>
    <col min="14662" max="14662" width="12.7109375" style="5" customWidth="1"/>
    <col min="14663" max="14663" width="15.5703125" style="5" customWidth="1"/>
    <col min="14664" max="14664" width="11.85546875" style="5" customWidth="1"/>
    <col min="14665" max="14665" width="12.42578125" style="5" customWidth="1"/>
    <col min="14666" max="14666" width="12" style="5" customWidth="1"/>
    <col min="14667" max="14848" width="9.42578125" style="5"/>
    <col min="14849" max="14849" width="30.7109375" style="5" customWidth="1"/>
    <col min="14850" max="14850" width="28.7109375" style="5" customWidth="1"/>
    <col min="14851" max="14851" width="31.28515625" style="5" customWidth="1"/>
    <col min="14852" max="14852" width="10.140625" style="5" customWidth="1"/>
    <col min="14853" max="14853" width="34" style="5" customWidth="1"/>
    <col min="14854" max="14854" width="11.28515625" style="5" customWidth="1"/>
    <col min="14855" max="14855" width="3.140625" style="5" customWidth="1"/>
    <col min="14856" max="14856" width="15.28515625" style="5" customWidth="1"/>
    <col min="14857" max="14857" width="13.7109375" style="5" customWidth="1"/>
    <col min="14858" max="14858" width="24.42578125" style="5" customWidth="1"/>
    <col min="14859" max="14894" width="9.42578125" style="5"/>
    <col min="14895" max="14895" width="7" style="5" customWidth="1"/>
    <col min="14896" max="14896" width="23.5703125" style="5" customWidth="1"/>
    <col min="14897" max="14897" width="15" style="5" customWidth="1"/>
    <col min="14898" max="14898" width="29.42578125" style="5" customWidth="1"/>
    <col min="14899" max="14916" width="9.42578125" style="5"/>
    <col min="14917" max="14917" width="12.5703125" style="5" customWidth="1"/>
    <col min="14918" max="14918" width="12.7109375" style="5" customWidth="1"/>
    <col min="14919" max="14919" width="15.5703125" style="5" customWidth="1"/>
    <col min="14920" max="14920" width="11.85546875" style="5" customWidth="1"/>
    <col min="14921" max="14921" width="12.42578125" style="5" customWidth="1"/>
    <col min="14922" max="14922" width="12" style="5" customWidth="1"/>
    <col min="14923" max="15104" width="9.42578125" style="5"/>
    <col min="15105" max="15105" width="30.7109375" style="5" customWidth="1"/>
    <col min="15106" max="15106" width="28.7109375" style="5" customWidth="1"/>
    <col min="15107" max="15107" width="31.28515625" style="5" customWidth="1"/>
    <col min="15108" max="15108" width="10.140625" style="5" customWidth="1"/>
    <col min="15109" max="15109" width="34" style="5" customWidth="1"/>
    <col min="15110" max="15110" width="11.28515625" style="5" customWidth="1"/>
    <col min="15111" max="15111" width="3.140625" style="5" customWidth="1"/>
    <col min="15112" max="15112" width="15.28515625" style="5" customWidth="1"/>
    <col min="15113" max="15113" width="13.7109375" style="5" customWidth="1"/>
    <col min="15114" max="15114" width="24.42578125" style="5" customWidth="1"/>
    <col min="15115" max="15150" width="9.42578125" style="5"/>
    <col min="15151" max="15151" width="7" style="5" customWidth="1"/>
    <col min="15152" max="15152" width="23.5703125" style="5" customWidth="1"/>
    <col min="15153" max="15153" width="15" style="5" customWidth="1"/>
    <col min="15154" max="15154" width="29.42578125" style="5" customWidth="1"/>
    <col min="15155" max="15172" width="9.42578125" style="5"/>
    <col min="15173" max="15173" width="12.5703125" style="5" customWidth="1"/>
    <col min="15174" max="15174" width="12.7109375" style="5" customWidth="1"/>
    <col min="15175" max="15175" width="15.5703125" style="5" customWidth="1"/>
    <col min="15176" max="15176" width="11.85546875" style="5" customWidth="1"/>
    <col min="15177" max="15177" width="12.42578125" style="5" customWidth="1"/>
    <col min="15178" max="15178" width="12" style="5" customWidth="1"/>
    <col min="15179" max="15360" width="9.42578125" style="5"/>
    <col min="15361" max="15361" width="30.7109375" style="5" customWidth="1"/>
    <col min="15362" max="15362" width="28.7109375" style="5" customWidth="1"/>
    <col min="15363" max="15363" width="31.28515625" style="5" customWidth="1"/>
    <col min="15364" max="15364" width="10.140625" style="5" customWidth="1"/>
    <col min="15365" max="15365" width="34" style="5" customWidth="1"/>
    <col min="15366" max="15366" width="11.28515625" style="5" customWidth="1"/>
    <col min="15367" max="15367" width="3.140625" style="5" customWidth="1"/>
    <col min="15368" max="15368" width="15.28515625" style="5" customWidth="1"/>
    <col min="15369" max="15369" width="13.7109375" style="5" customWidth="1"/>
    <col min="15370" max="15370" width="24.42578125" style="5" customWidth="1"/>
    <col min="15371" max="15406" width="9.42578125" style="5"/>
    <col min="15407" max="15407" width="7" style="5" customWidth="1"/>
    <col min="15408" max="15408" width="23.5703125" style="5" customWidth="1"/>
    <col min="15409" max="15409" width="15" style="5" customWidth="1"/>
    <col min="15410" max="15410" width="29.42578125" style="5" customWidth="1"/>
    <col min="15411" max="15428" width="9.42578125" style="5"/>
    <col min="15429" max="15429" width="12.5703125" style="5" customWidth="1"/>
    <col min="15430" max="15430" width="12.7109375" style="5" customWidth="1"/>
    <col min="15431" max="15431" width="15.5703125" style="5" customWidth="1"/>
    <col min="15432" max="15432" width="11.85546875" style="5" customWidth="1"/>
    <col min="15433" max="15433" width="12.42578125" style="5" customWidth="1"/>
    <col min="15434" max="15434" width="12" style="5" customWidth="1"/>
    <col min="15435" max="15616" width="9.42578125" style="5"/>
    <col min="15617" max="15617" width="30.7109375" style="5" customWidth="1"/>
    <col min="15618" max="15618" width="28.7109375" style="5" customWidth="1"/>
    <col min="15619" max="15619" width="31.28515625" style="5" customWidth="1"/>
    <col min="15620" max="15620" width="10.140625" style="5" customWidth="1"/>
    <col min="15621" max="15621" width="34" style="5" customWidth="1"/>
    <col min="15622" max="15622" width="11.28515625" style="5" customWidth="1"/>
    <col min="15623" max="15623" width="3.140625" style="5" customWidth="1"/>
    <col min="15624" max="15624" width="15.28515625" style="5" customWidth="1"/>
    <col min="15625" max="15625" width="13.7109375" style="5" customWidth="1"/>
    <col min="15626" max="15626" width="24.42578125" style="5" customWidth="1"/>
    <col min="15627" max="15662" width="9.42578125" style="5"/>
    <col min="15663" max="15663" width="7" style="5" customWidth="1"/>
    <col min="15664" max="15664" width="23.5703125" style="5" customWidth="1"/>
    <col min="15665" max="15665" width="15" style="5" customWidth="1"/>
    <col min="15666" max="15666" width="29.42578125" style="5" customWidth="1"/>
    <col min="15667" max="15684" width="9.42578125" style="5"/>
    <col min="15685" max="15685" width="12.5703125" style="5" customWidth="1"/>
    <col min="15686" max="15686" width="12.7109375" style="5" customWidth="1"/>
    <col min="15687" max="15687" width="15.5703125" style="5" customWidth="1"/>
    <col min="15688" max="15688" width="11.85546875" style="5" customWidth="1"/>
    <col min="15689" max="15689" width="12.42578125" style="5" customWidth="1"/>
    <col min="15690" max="15690" width="12" style="5" customWidth="1"/>
    <col min="15691" max="15872" width="9.42578125" style="5"/>
    <col min="15873" max="15873" width="30.7109375" style="5" customWidth="1"/>
    <col min="15874" max="15874" width="28.7109375" style="5" customWidth="1"/>
    <col min="15875" max="15875" width="31.28515625" style="5" customWidth="1"/>
    <col min="15876" max="15876" width="10.140625" style="5" customWidth="1"/>
    <col min="15877" max="15877" width="34" style="5" customWidth="1"/>
    <col min="15878" max="15878" width="11.28515625" style="5" customWidth="1"/>
    <col min="15879" max="15879" width="3.140625" style="5" customWidth="1"/>
    <col min="15880" max="15880" width="15.28515625" style="5" customWidth="1"/>
    <col min="15881" max="15881" width="13.7109375" style="5" customWidth="1"/>
    <col min="15882" max="15882" width="24.42578125" style="5" customWidth="1"/>
    <col min="15883" max="15918" width="9.42578125" style="5"/>
    <col min="15919" max="15919" width="7" style="5" customWidth="1"/>
    <col min="15920" max="15920" width="23.5703125" style="5" customWidth="1"/>
    <col min="15921" max="15921" width="15" style="5" customWidth="1"/>
    <col min="15922" max="15922" width="29.42578125" style="5" customWidth="1"/>
    <col min="15923" max="15940" width="9.42578125" style="5"/>
    <col min="15941" max="15941" width="12.5703125" style="5" customWidth="1"/>
    <col min="15942" max="15942" width="12.7109375" style="5" customWidth="1"/>
    <col min="15943" max="15943" width="15.5703125" style="5" customWidth="1"/>
    <col min="15944" max="15944" width="11.85546875" style="5" customWidth="1"/>
    <col min="15945" max="15945" width="12.42578125" style="5" customWidth="1"/>
    <col min="15946" max="15946" width="12" style="5" customWidth="1"/>
    <col min="15947" max="16128" width="9.42578125" style="5"/>
    <col min="16129" max="16129" width="30.7109375" style="5" customWidth="1"/>
    <col min="16130" max="16130" width="28.7109375" style="5" customWidth="1"/>
    <col min="16131" max="16131" width="31.28515625" style="5" customWidth="1"/>
    <col min="16132" max="16132" width="10.140625" style="5" customWidth="1"/>
    <col min="16133" max="16133" width="34" style="5" customWidth="1"/>
    <col min="16134" max="16134" width="11.28515625" style="5" customWidth="1"/>
    <col min="16135" max="16135" width="3.140625" style="5" customWidth="1"/>
    <col min="16136" max="16136" width="15.28515625" style="5" customWidth="1"/>
    <col min="16137" max="16137" width="13.7109375" style="5" customWidth="1"/>
    <col min="16138" max="16138" width="24.42578125" style="5" customWidth="1"/>
    <col min="16139" max="16174" width="9.42578125" style="5"/>
    <col min="16175" max="16175" width="7" style="5" customWidth="1"/>
    <col min="16176" max="16176" width="23.5703125" style="5" customWidth="1"/>
    <col min="16177" max="16177" width="15" style="5" customWidth="1"/>
    <col min="16178" max="16178" width="29.42578125" style="5" customWidth="1"/>
    <col min="16179" max="16196" width="9.42578125" style="5"/>
    <col min="16197" max="16197" width="12.5703125" style="5" customWidth="1"/>
    <col min="16198" max="16198" width="12.7109375" style="5" customWidth="1"/>
    <col min="16199" max="16199" width="15.5703125" style="5" customWidth="1"/>
    <col min="16200" max="16200" width="11.85546875" style="5" customWidth="1"/>
    <col min="16201" max="16201" width="12.42578125" style="5" customWidth="1"/>
    <col min="16202" max="16202" width="12" style="5" customWidth="1"/>
    <col min="16203" max="16384" width="9.42578125" style="5"/>
  </cols>
  <sheetData>
    <row r="1" spans="1:97" s="7" customFormat="1" ht="28.35" customHeight="1">
      <c r="A1" s="952" t="s">
        <v>4</v>
      </c>
      <c r="B1" s="952"/>
      <c r="C1" s="952"/>
      <c r="D1" s="952"/>
      <c r="E1" s="952"/>
      <c r="F1" s="952"/>
      <c r="G1" s="307"/>
      <c r="H1" s="998" t="s">
        <v>5</v>
      </c>
      <c r="I1" s="99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c r="CR1" s="308"/>
      <c r="CS1" s="308"/>
    </row>
    <row r="2" spans="1:97" s="7" customFormat="1" ht="28.9" customHeight="1" thickBot="1">
      <c r="A2" s="711" t="s">
        <v>561</v>
      </c>
      <c r="B2" s="1000"/>
      <c r="C2" s="1000"/>
      <c r="D2" s="711"/>
      <c r="E2" s="684" t="s">
        <v>636</v>
      </c>
      <c r="F2" s="923" t="s">
        <v>651</v>
      </c>
      <c r="H2" s="8"/>
      <c r="I2" s="9"/>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row>
    <row r="3" spans="1:97" s="7" customFormat="1" ht="38.25" customHeight="1" thickBot="1">
      <c r="A3" s="647" t="s">
        <v>340</v>
      </c>
      <c r="B3" s="648">
        <v>70000</v>
      </c>
      <c r="C3" s="649" t="s">
        <v>7</v>
      </c>
      <c r="D3" s="650">
        <v>30</v>
      </c>
      <c r="E3" s="784" t="s">
        <v>586</v>
      </c>
      <c r="F3" s="652">
        <v>0</v>
      </c>
      <c r="G3" s="309"/>
      <c r="H3" s="1003" t="s">
        <v>452</v>
      </c>
      <c r="I3" s="1003"/>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row>
    <row r="4" spans="1:97" s="7" customFormat="1" ht="30.95" customHeight="1" thickBot="1">
      <c r="A4" s="653" t="s">
        <v>10</v>
      </c>
      <c r="B4" s="654" t="s">
        <v>46</v>
      </c>
      <c r="C4" s="655" t="s">
        <v>341</v>
      </c>
      <c r="D4" s="656" t="str">
        <f ca="1">AW120</f>
        <v>&gt;0</v>
      </c>
      <c r="E4" s="657" t="s">
        <v>551</v>
      </c>
      <c r="F4" s="682" t="s">
        <v>583</v>
      </c>
      <c r="G4" s="310"/>
      <c r="H4" s="999" t="s">
        <v>15</v>
      </c>
      <c r="I4" s="999"/>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row>
    <row r="5" spans="1:97" s="7" customFormat="1" ht="33" customHeight="1" thickBot="1">
      <c r="A5" s="658" t="s">
        <v>406</v>
      </c>
      <c r="B5" s="659">
        <v>43487</v>
      </c>
      <c r="C5" s="655" t="s">
        <v>18</v>
      </c>
      <c r="D5" s="660" t="s">
        <v>44</v>
      </c>
      <c r="E5" s="661" t="s">
        <v>20</v>
      </c>
      <c r="F5" s="662">
        <v>0</v>
      </c>
      <c r="G5" s="310"/>
      <c r="H5" s="999" t="s">
        <v>632</v>
      </c>
      <c r="I5" s="999"/>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8"/>
      <c r="BS5" s="308"/>
      <c r="BT5" s="308"/>
      <c r="BU5" s="308"/>
      <c r="BV5" s="308"/>
      <c r="BW5" s="308"/>
      <c r="BX5" s="308"/>
      <c r="BY5" s="308"/>
      <c r="BZ5" s="308"/>
      <c r="CA5" s="308"/>
      <c r="CB5" s="308"/>
      <c r="CC5" s="308"/>
      <c r="CD5" s="308"/>
      <c r="CE5" s="308"/>
      <c r="CF5" s="308"/>
      <c r="CG5" s="308"/>
      <c r="CH5" s="308"/>
      <c r="CI5" s="308"/>
      <c r="CJ5" s="308"/>
      <c r="CK5" s="308"/>
      <c r="CL5" s="308"/>
      <c r="CM5" s="308"/>
      <c r="CN5" s="308"/>
      <c r="CO5" s="308"/>
      <c r="CP5" s="308"/>
      <c r="CQ5" s="308"/>
      <c r="CR5" s="308"/>
      <c r="CS5" s="308"/>
    </row>
    <row r="6" spans="1:97" s="7" customFormat="1" ht="27.2" customHeight="1">
      <c r="A6" s="663" t="s">
        <v>512</v>
      </c>
      <c r="B6" s="835" t="s">
        <v>592</v>
      </c>
      <c r="C6" s="836" t="s">
        <v>12</v>
      </c>
      <c r="D6" s="837">
        <v>0</v>
      </c>
      <c r="E6" s="833" t="s">
        <v>605</v>
      </c>
      <c r="F6" s="826" t="s">
        <v>14</v>
      </c>
      <c r="G6" s="310"/>
      <c r="H6" s="999" t="s">
        <v>483</v>
      </c>
      <c r="I6" s="999"/>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8"/>
      <c r="CR6" s="308"/>
      <c r="CS6" s="308"/>
    </row>
    <row r="7" spans="1:97" ht="28.9" customHeight="1">
      <c r="A7" s="824" t="s">
        <v>611</v>
      </c>
      <c r="B7" s="832">
        <v>0</v>
      </c>
      <c r="C7" s="824" t="s">
        <v>601</v>
      </c>
      <c r="D7" s="832">
        <v>100000</v>
      </c>
      <c r="E7" s="829" t="s">
        <v>458</v>
      </c>
      <c r="F7" s="826" t="s">
        <v>14</v>
      </c>
      <c r="G7" s="312"/>
      <c r="H7" s="312"/>
      <c r="I7" s="313"/>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row>
    <row r="8" spans="1:97" ht="28.9" customHeight="1">
      <c r="A8" s="834" t="s">
        <v>606</v>
      </c>
      <c r="B8" s="826" t="s">
        <v>14</v>
      </c>
      <c r="C8" s="827"/>
      <c r="D8" s="839"/>
      <c r="E8" s="840"/>
      <c r="F8" s="841"/>
      <c r="G8" s="312"/>
      <c r="H8" s="312"/>
      <c r="I8" s="838"/>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row>
    <row r="9" spans="1:97" ht="15.6" customHeight="1">
      <c r="A9" s="1001" t="s">
        <v>21</v>
      </c>
      <c r="B9" s="1001"/>
      <c r="C9" s="1001"/>
      <c r="D9" s="1001"/>
      <c r="E9" s="1002" t="s">
        <v>22</v>
      </c>
      <c r="F9" s="1002"/>
      <c r="G9" s="614"/>
      <c r="H9" s="614"/>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row>
    <row r="10" spans="1:97" ht="19.899999999999999" customHeight="1">
      <c r="A10" s="687" t="s">
        <v>342</v>
      </c>
      <c r="B10" s="688">
        <f ca="1">AW132</f>
        <v>1.7929999999999999</v>
      </c>
      <c r="C10" s="687" t="s">
        <v>523</v>
      </c>
      <c r="D10" s="687">
        <f ca="1">AW136</f>
        <v>0.12</v>
      </c>
      <c r="E10" s="314" t="s">
        <v>557</v>
      </c>
      <c r="F10" s="315">
        <f>IF(F2="Others",BD137,BD138)</f>
        <v>5453</v>
      </c>
      <c r="G10" s="614"/>
      <c r="H10" s="614"/>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row>
    <row r="11" spans="1:97" ht="17.850000000000001" customHeight="1">
      <c r="A11" s="687" t="s">
        <v>513</v>
      </c>
      <c r="B11" s="688">
        <f ca="1">B10*(1-$D$3%)</f>
        <v>1.2550999999999999</v>
      </c>
      <c r="C11" s="687" t="s">
        <v>525</v>
      </c>
      <c r="D11" s="687">
        <f ca="1">AW136%*(B3+F3)</f>
        <v>83.999999999999986</v>
      </c>
      <c r="E11" s="314" t="s">
        <v>558</v>
      </c>
      <c r="F11" s="320">
        <f>$F$5*70*5</f>
        <v>0</v>
      </c>
      <c r="G11" s="614"/>
      <c r="H11" s="614"/>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row>
    <row r="12" spans="1:97" ht="16.7" customHeight="1">
      <c r="A12" s="690" t="s">
        <v>524</v>
      </c>
      <c r="B12" s="691">
        <f>(B3+F3)*0.8421</f>
        <v>58947</v>
      </c>
      <c r="C12" s="687" t="s">
        <v>527</v>
      </c>
      <c r="D12" s="687">
        <f ca="1">AW137</f>
        <v>0.22</v>
      </c>
      <c r="E12" s="316" t="s">
        <v>549</v>
      </c>
      <c r="F12" s="315">
        <f>IF($F$4="FPD",1300,IF(F4="One Year",275,0))</f>
        <v>275</v>
      </c>
      <c r="G12" s="614"/>
      <c r="H12" s="614"/>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row>
    <row r="13" spans="1:97" ht="20.25" customHeight="1">
      <c r="A13" s="690" t="s">
        <v>526</v>
      </c>
      <c r="B13" s="692">
        <f>0.73684*(B3+F3)</f>
        <v>51578.8</v>
      </c>
      <c r="C13" s="687" t="s">
        <v>529</v>
      </c>
      <c r="D13" s="691">
        <f ca="1">D12*B12%</f>
        <v>129.68340000000001</v>
      </c>
      <c r="E13" s="314" t="s">
        <v>31</v>
      </c>
      <c r="F13" s="322">
        <f>F10+F11+F12</f>
        <v>5728</v>
      </c>
      <c r="G13" s="614"/>
      <c r="H13" s="987" t="s">
        <v>29</v>
      </c>
      <c r="I13" s="988">
        <f ca="1">F14+F15</f>
        <v>13724.273676590201</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row>
    <row r="14" spans="1:97" ht="17.25" customHeight="1">
      <c r="A14" s="690" t="s">
        <v>528</v>
      </c>
      <c r="B14" s="692">
        <f>0.63158*(B3+F3)</f>
        <v>44210.6</v>
      </c>
      <c r="C14" s="687" t="s">
        <v>531</v>
      </c>
      <c r="D14" s="687">
        <f ca="1">AW138</f>
        <v>0.3</v>
      </c>
      <c r="E14" s="314" t="s">
        <v>33</v>
      </c>
      <c r="F14" s="664">
        <f ca="1">F13+D20+B35</f>
        <v>11630.74040389</v>
      </c>
      <c r="G14" s="614"/>
      <c r="H14" s="987"/>
      <c r="I14" s="988"/>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row>
    <row r="15" spans="1:97" ht="18.600000000000001" customHeight="1">
      <c r="A15" s="690" t="s">
        <v>530</v>
      </c>
      <c r="B15" s="692">
        <f>0.52632*(B3+F3)</f>
        <v>36842.400000000001</v>
      </c>
      <c r="C15" s="687" t="s">
        <v>532</v>
      </c>
      <c r="D15" s="691">
        <f ca="1">D14*B13%</f>
        <v>154.7364</v>
      </c>
      <c r="E15" s="314" t="s">
        <v>514</v>
      </c>
      <c r="F15" s="322">
        <f ca="1">18%*F14</f>
        <v>2093.5332727002001</v>
      </c>
      <c r="G15" s="614"/>
      <c r="H15" s="614"/>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row>
    <row r="16" spans="1:97" ht="16.5">
      <c r="A16" s="690" t="s">
        <v>25</v>
      </c>
      <c r="B16" s="693">
        <f ca="1">ROUNDUP(($B$3+F3)*$B$11%,0)</f>
        <v>879</v>
      </c>
      <c r="C16" s="687" t="s">
        <v>534</v>
      </c>
      <c r="D16" s="687">
        <v>0.4</v>
      </c>
      <c r="G16" s="614"/>
      <c r="H16" s="614"/>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row>
    <row r="17" spans="1:97" ht="18">
      <c r="A17" s="690" t="s">
        <v>533</v>
      </c>
      <c r="B17" s="692">
        <f ca="1">ROUND(B12*B11%,0)</f>
        <v>740</v>
      </c>
      <c r="C17" s="687" t="s">
        <v>536</v>
      </c>
      <c r="D17" s="691">
        <f>D16%*B14</f>
        <v>176.8424</v>
      </c>
      <c r="G17" s="614"/>
      <c r="H17" s="614"/>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row>
    <row r="18" spans="1:97" ht="21.6" customHeight="1">
      <c r="A18" s="690" t="s">
        <v>535</v>
      </c>
      <c r="B18" s="692">
        <f ca="1">B11%*B13</f>
        <v>647.36551880000002</v>
      </c>
      <c r="C18" s="687" t="s">
        <v>538</v>
      </c>
      <c r="D18" s="687">
        <v>0.6</v>
      </c>
      <c r="E18" s="681" t="s">
        <v>550</v>
      </c>
      <c r="F18" s="614"/>
      <c r="G18" s="7"/>
      <c r="H18" s="7"/>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row>
    <row r="19" spans="1:97" ht="16.7" customHeight="1">
      <c r="A19" s="690" t="s">
        <v>537</v>
      </c>
      <c r="B19" s="692">
        <f ca="1">B11%*B14</f>
        <v>554.88724059999993</v>
      </c>
      <c r="C19" s="687" t="s">
        <v>540</v>
      </c>
      <c r="D19" s="691">
        <f>D18%*B15</f>
        <v>221.05440000000002</v>
      </c>
      <c r="E19" s="17"/>
      <c r="F19" s="17"/>
      <c r="G19" s="7"/>
      <c r="H19" s="7" t="s">
        <v>635</v>
      </c>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row>
    <row r="20" spans="1:97" ht="18.75">
      <c r="A20" s="690" t="s">
        <v>539</v>
      </c>
      <c r="B20" s="692">
        <f ca="1">B11%*B15</f>
        <v>462.40896240000001</v>
      </c>
      <c r="C20" s="687" t="s">
        <v>541</v>
      </c>
      <c r="D20" s="694">
        <f ca="1">IF(B6="LT Enh",D11+D13+D15+D17+D19,IF(B6="LT Enh Bundled",D11,0))</f>
        <v>766.31659999999999</v>
      </c>
      <c r="E20" s="82"/>
      <c r="F20" s="82"/>
      <c r="G20" s="7"/>
      <c r="H20" s="7"/>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row>
    <row r="21" spans="1:97" ht="16.7" customHeight="1">
      <c r="A21" s="690" t="s">
        <v>265</v>
      </c>
      <c r="B21" s="697">
        <f ca="1">IF(OR(B6="LT Enh",B6="LT Pack"),SUM(B16:B20),B16)</f>
        <v>3283.6617218000001</v>
      </c>
      <c r="E21" s="323"/>
      <c r="F21" s="28"/>
      <c r="G21" s="7"/>
      <c r="H21" s="7"/>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row>
    <row r="22" spans="1:97" ht="30.95" customHeight="1">
      <c r="A22" s="689" t="s">
        <v>27</v>
      </c>
      <c r="B22" s="917">
        <f>0.04*$F$3*(1-D3%)</f>
        <v>0</v>
      </c>
      <c r="C22" s="965" t="s">
        <v>435</v>
      </c>
      <c r="D22" s="966"/>
      <c r="E22" s="967"/>
      <c r="F22" s="324"/>
      <c r="G22" s="7"/>
      <c r="H22" s="7"/>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row>
    <row r="23" spans="1:97" ht="16.899999999999999" customHeight="1">
      <c r="A23" s="695" t="s">
        <v>12</v>
      </c>
      <c r="B23" s="918">
        <f ca="1">D6%*(B21+B22)</f>
        <v>0</v>
      </c>
      <c r="C23" s="921" t="s">
        <v>638</v>
      </c>
      <c r="D23" s="965" t="s">
        <v>41</v>
      </c>
      <c r="E23" s="967"/>
      <c r="F23" s="31"/>
      <c r="G23" s="7"/>
      <c r="H23" s="7"/>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row>
    <row r="24" spans="1:97">
      <c r="A24" s="848" t="s">
        <v>593</v>
      </c>
      <c r="B24" s="919">
        <v>1.67</v>
      </c>
      <c r="C24" s="922" t="s">
        <v>645</v>
      </c>
      <c r="D24" s="968" t="s">
        <v>47</v>
      </c>
      <c r="E24" s="968"/>
      <c r="F24" s="324"/>
      <c r="G24" s="7"/>
      <c r="H24" s="7"/>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row>
    <row r="25" spans="1:97">
      <c r="A25" s="849" t="s">
        <v>594</v>
      </c>
      <c r="B25" s="919">
        <f>IF(B7&lt;&gt;0,IF(B6="LT Enh",(B24%*B7)*5,IF(B6="LT Enh Bundled",B24%*B7,0)),0)</f>
        <v>0</v>
      </c>
      <c r="C25" s="922" t="s">
        <v>646</v>
      </c>
      <c r="D25" s="968" t="s">
        <v>649</v>
      </c>
      <c r="E25" s="968"/>
      <c r="F25" s="324"/>
      <c r="G25" s="7"/>
      <c r="H25" s="7"/>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row>
    <row r="26" spans="1:97">
      <c r="A26" s="848" t="s">
        <v>595</v>
      </c>
      <c r="B26" s="919">
        <f ca="1">IF(D4&gt;0,0.17,IF(D4&gt;1,0.33,IF(D4&gt;2,0.5,0)))</f>
        <v>0.17</v>
      </c>
      <c r="C26" s="922" t="s">
        <v>647</v>
      </c>
      <c r="D26" s="968" t="s">
        <v>650</v>
      </c>
      <c r="E26" s="968"/>
      <c r="F26" s="665"/>
      <c r="G26" s="29"/>
      <c r="H26" s="7"/>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row>
    <row r="27" spans="1:97">
      <c r="A27" s="849" t="s">
        <v>596</v>
      </c>
      <c r="B27" s="920">
        <f>IF(D7&lt;&gt;0,IF(B6="LT Enh",((0.17+0.33+0.5)*D7/100),IF(B6="LT Enh Bundled",B26%*D7,0)),0)</f>
        <v>1000</v>
      </c>
      <c r="C27" s="922" t="s">
        <v>648</v>
      </c>
      <c r="D27" s="968" t="s">
        <v>45</v>
      </c>
      <c r="E27" s="968"/>
      <c r="F27" s="666"/>
      <c r="G27" s="33"/>
      <c r="H27" s="7"/>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row>
    <row r="28" spans="1:97">
      <c r="A28" s="848" t="s">
        <v>597</v>
      </c>
      <c r="B28" s="848">
        <f>VLOOKUP(D6,AV148:AW153,2,1)</f>
        <v>5</v>
      </c>
      <c r="C28" s="26"/>
      <c r="F28" s="23"/>
      <c r="G28" s="33"/>
      <c r="H28" s="7"/>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row>
    <row r="29" spans="1:97">
      <c r="A29" s="849" t="s">
        <v>598</v>
      </c>
      <c r="B29" s="847">
        <f ca="1">IF(F7="Yes",IF(OR(B6="LT Enh",B6="LT Enh Bundled"),B28%*B21,0),0)</f>
        <v>164.18308609000002</v>
      </c>
      <c r="C29" s="26"/>
      <c r="F29" s="667"/>
      <c r="G29" s="37"/>
      <c r="H29" s="7"/>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row>
    <row r="30" spans="1:97" ht="18.75">
      <c r="A30" s="848" t="s">
        <v>599</v>
      </c>
      <c r="B30" s="848">
        <f ca="1">VLOOKUP(D4,AV140:AX145,2,0)</f>
        <v>0.11</v>
      </c>
      <c r="C30" s="326"/>
      <c r="D30" s="23"/>
      <c r="E30" s="963"/>
      <c r="F30" s="963"/>
      <c r="G30" s="7"/>
      <c r="H30" s="7"/>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row>
    <row r="31" spans="1:97">
      <c r="A31" s="849" t="s">
        <v>600</v>
      </c>
      <c r="B31" s="847">
        <f ca="1">IF(F6="Yes",IF(B6="LT Enh",BA142,IF(B6="LT Enh Bundled",B30%*B3,0)),0)</f>
        <v>379.84212000000002</v>
      </c>
      <c r="C31" s="32"/>
      <c r="D31" s="39"/>
      <c r="E31" s="907"/>
      <c r="F31" s="324"/>
      <c r="G31" s="7"/>
      <c r="H31" s="7"/>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row>
    <row r="32" spans="1:97">
      <c r="A32" s="848" t="s">
        <v>607</v>
      </c>
      <c r="B32" s="848">
        <f ca="1">VLOOKUP(D4,AV140:AX145,3,0)</f>
        <v>9.1999999999999998E-2</v>
      </c>
      <c r="C32" s="32"/>
      <c r="D32" s="39"/>
      <c r="E32" s="327"/>
      <c r="F32" s="328"/>
      <c r="G32" s="7"/>
      <c r="H32" s="7"/>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row>
    <row r="33" spans="1:97">
      <c r="A33" s="849" t="s">
        <v>608</v>
      </c>
      <c r="B33" s="847">
        <f ca="1">IF(B8="Yes",IF(B6="LT Enh",BA145,IF(B6="LT Enh Bundled",B32%*B3,0)),0)</f>
        <v>308.73687600000005</v>
      </c>
      <c r="C33" s="32"/>
      <c r="D33" s="39"/>
      <c r="E33" s="327"/>
      <c r="F33" s="328"/>
      <c r="G33" s="7"/>
      <c r="H33" s="7"/>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row>
    <row r="34" spans="1:97">
      <c r="A34" s="5" t="s">
        <v>471</v>
      </c>
      <c r="B34" s="665">
        <f ca="1">B25+B27+B29+B31+B33</f>
        <v>1852.7620820900001</v>
      </c>
      <c r="C34" s="32"/>
      <c r="D34" s="39"/>
      <c r="E34" s="327"/>
      <c r="F34" s="328"/>
      <c r="G34" s="7"/>
      <c r="H34" s="7"/>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row>
    <row r="35" spans="1:97" ht="17.25">
      <c r="A35" s="696" t="s">
        <v>472</v>
      </c>
      <c r="B35" s="698">
        <f ca="1">B21+B22-B23+B34</f>
        <v>5136.4238038900003</v>
      </c>
      <c r="C35" s="32"/>
      <c r="D35" s="32"/>
      <c r="E35" s="42"/>
      <c r="F35" s="32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row>
    <row r="36" spans="1:97" ht="15.75">
      <c r="A36" s="32"/>
      <c r="B36" s="32"/>
      <c r="C36" s="32"/>
      <c r="D36" s="32"/>
      <c r="E36" s="327"/>
      <c r="F36" s="32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row>
    <row r="37" spans="1:97" ht="15" customHeight="1">
      <c r="A37" s="32"/>
      <c r="B37" s="32"/>
      <c r="C37" s="32"/>
      <c r="D37" s="32"/>
      <c r="E37" s="33"/>
      <c r="F37" s="44"/>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row>
    <row r="38" spans="1:97" ht="18.75">
      <c r="A38" s="32"/>
      <c r="B38" s="32"/>
      <c r="C38" s="32"/>
      <c r="D38" s="32"/>
      <c r="E38" s="45"/>
      <c r="F38" s="35"/>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row>
    <row r="39" spans="1:97">
      <c r="A39" s="32"/>
      <c r="B39" s="32"/>
      <c r="C39" s="32"/>
      <c r="D39" s="32"/>
      <c r="E39" s="28"/>
      <c r="F39" s="28"/>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row>
    <row r="40" spans="1:97">
      <c r="A40" s="32"/>
      <c r="B40" s="32"/>
      <c r="C40" s="32"/>
      <c r="D40" s="32"/>
      <c r="E40" s="28"/>
      <c r="F40" s="28"/>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row>
    <row r="41" spans="1:97">
      <c r="C41" s="32"/>
      <c r="D41" s="32"/>
      <c r="E41" s="28"/>
      <c r="F41" s="28"/>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row>
    <row r="42" spans="1:97">
      <c r="A42" s="32"/>
      <c r="B42" s="32"/>
      <c r="C42" s="32"/>
      <c r="D42" s="32"/>
      <c r="E42" s="28"/>
      <c r="F42" s="28"/>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row>
    <row r="43" spans="1:97">
      <c r="A43" s="32"/>
      <c r="B43" s="32"/>
      <c r="C43" s="32"/>
      <c r="D43" s="32"/>
      <c r="E43" s="28"/>
      <c r="F43" s="28"/>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row>
    <row r="44" spans="1:97">
      <c r="A44" s="32"/>
      <c r="B44" s="32"/>
      <c r="C44" s="32"/>
      <c r="D44" s="32"/>
      <c r="E44" s="28"/>
      <c r="F44" s="28"/>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row>
    <row r="45" spans="1:97">
      <c r="A45" s="32"/>
      <c r="B45" s="32"/>
      <c r="C45" s="32"/>
      <c r="D45" s="32"/>
      <c r="E45" s="28"/>
      <c r="F45" s="28"/>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row>
    <row r="46" spans="1:97">
      <c r="A46" s="32"/>
      <c r="B46" s="32"/>
      <c r="C46" s="32"/>
      <c r="D46" s="32"/>
      <c r="E46" s="28"/>
      <c r="F46" s="28"/>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row>
    <row r="47" spans="1:97">
      <c r="A47" s="32"/>
      <c r="B47" s="32"/>
      <c r="C47" s="32"/>
      <c r="D47" s="32"/>
      <c r="E47" s="28"/>
      <c r="F47" s="28"/>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row>
    <row r="48" spans="1:97">
      <c r="A48" s="32"/>
      <c r="B48" s="32"/>
      <c r="C48" s="32"/>
      <c r="D48" s="32"/>
      <c r="E48" s="28"/>
      <c r="F48" s="28"/>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row>
    <row r="49" spans="1:97">
      <c r="A49" s="32"/>
      <c r="B49" s="32"/>
      <c r="C49" s="32"/>
      <c r="D49" s="32"/>
      <c r="E49" s="28"/>
      <c r="F49" s="28"/>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row>
    <row r="50" spans="1:97">
      <c r="A50" s="32"/>
      <c r="B50" s="32"/>
      <c r="C50" s="32"/>
      <c r="D50" s="32"/>
      <c r="E50" s="28"/>
      <c r="F50" s="28"/>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row>
    <row r="51" spans="1:97">
      <c r="A51" s="32"/>
      <c r="B51" s="32"/>
      <c r="C51" s="32"/>
      <c r="D51" s="32"/>
      <c r="E51" s="28"/>
      <c r="F51" s="28"/>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row>
    <row r="52" spans="1:97">
      <c r="A52" s="32"/>
      <c r="B52" s="32"/>
      <c r="C52" s="32"/>
      <c r="D52" s="32"/>
      <c r="E52" s="28"/>
      <c r="F52" s="28"/>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row>
    <row r="53" spans="1:97">
      <c r="A53" s="32"/>
      <c r="B53" s="32"/>
      <c r="C53" s="32"/>
      <c r="D53" s="32"/>
      <c r="E53" s="613"/>
      <c r="F53" s="47"/>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row>
    <row r="54" spans="1:97">
      <c r="A54" s="32"/>
      <c r="B54" s="32"/>
      <c r="C54" s="32"/>
      <c r="D54" s="32"/>
      <c r="E54" s="48"/>
      <c r="F54" s="47"/>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row>
    <row r="55" spans="1:97">
      <c r="A55" s="32"/>
      <c r="B55" s="32"/>
      <c r="C55" s="32"/>
      <c r="D55" s="32"/>
      <c r="E55" s="28"/>
      <c r="F55" s="28"/>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row>
    <row r="56" spans="1:97">
      <c r="A56" s="32"/>
      <c r="B56" s="32"/>
      <c r="C56" s="32"/>
      <c r="D56" s="32"/>
      <c r="E56" s="28"/>
      <c r="F56" s="28"/>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row>
    <row r="57" spans="1:97">
      <c r="A57" s="32"/>
      <c r="B57" s="32"/>
      <c r="C57" s="32"/>
      <c r="D57" s="32"/>
      <c r="E57" s="28"/>
      <c r="F57" s="28"/>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row>
    <row r="58" spans="1:97">
      <c r="A58" s="32"/>
      <c r="B58" s="32"/>
      <c r="C58" s="32"/>
      <c r="D58" s="32"/>
      <c r="E58" s="28"/>
      <c r="F58" s="28"/>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row>
    <row r="59" spans="1:97">
      <c r="A59" s="32"/>
      <c r="B59" s="32"/>
      <c r="C59" s="32"/>
      <c r="D59" s="32"/>
      <c r="E59" s="28"/>
      <c r="F59" s="28"/>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row>
    <row r="60" spans="1:97">
      <c r="A60" s="32"/>
      <c r="B60" s="32"/>
      <c r="C60" s="32"/>
      <c r="D60" s="32"/>
      <c r="E60" s="28"/>
      <c r="F60" s="28"/>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row>
    <row r="61" spans="1:97">
      <c r="A61" s="32"/>
      <c r="B61" s="32"/>
      <c r="C61" s="32"/>
      <c r="D61" s="32"/>
      <c r="E61" s="28"/>
      <c r="F61" s="28"/>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row>
    <row r="62" spans="1:97">
      <c r="A62" s="32"/>
      <c r="B62" s="32"/>
      <c r="C62" s="32"/>
      <c r="D62" s="32"/>
      <c r="E62" s="28"/>
      <c r="F62" s="28"/>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row>
    <row r="63" spans="1:97">
      <c r="E63" s="28"/>
      <c r="F63" s="28"/>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row>
    <row r="64" spans="1:97">
      <c r="E64" s="28"/>
      <c r="F64" s="28"/>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row>
    <row r="65" spans="5:97">
      <c r="E65" s="28"/>
      <c r="F65" s="28"/>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row>
    <row r="66" spans="5:97">
      <c r="E66" s="28"/>
      <c r="F66" s="28"/>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row>
    <row r="67" spans="5:97">
      <c r="E67" s="28"/>
      <c r="F67" s="28"/>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row>
    <row r="68" spans="5:97">
      <c r="E68" s="28"/>
      <c r="F68" s="28"/>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row>
    <row r="69" spans="5:97">
      <c r="E69" s="28"/>
      <c r="F69" s="28"/>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row>
    <row r="70" spans="5:97">
      <c r="E70" s="28"/>
      <c r="F70" s="28"/>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row>
    <row r="71" spans="5:97">
      <c r="E71" s="28"/>
      <c r="F71" s="28"/>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row>
    <row r="72" spans="5:97">
      <c r="E72" s="28"/>
      <c r="F72" s="28"/>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row>
    <row r="73" spans="5:97">
      <c r="E73" s="28"/>
      <c r="F73" s="28"/>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row>
    <row r="74" spans="5:97">
      <c r="E74" s="28"/>
      <c r="F74" s="28"/>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row>
    <row r="75" spans="5:97">
      <c r="E75" s="28"/>
      <c r="F75" s="28"/>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row>
    <row r="76" spans="5:97">
      <c r="E76" s="28"/>
      <c r="F76" s="28"/>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row>
    <row r="77" spans="5:97">
      <c r="E77" s="28"/>
      <c r="F77" s="28"/>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row>
    <row r="78" spans="5:97">
      <c r="E78" s="28"/>
      <c r="F78" s="28"/>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row>
    <row r="79" spans="5:97">
      <c r="E79" s="28"/>
      <c r="F79" s="28"/>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row>
    <row r="80" spans="5:97">
      <c r="E80" s="28"/>
      <c r="F80" s="28"/>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row>
    <row r="81" spans="5:97">
      <c r="E81" s="28"/>
      <c r="F81" s="28"/>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row>
    <row r="82" spans="5:97">
      <c r="E82" s="28"/>
      <c r="F82" s="28"/>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row>
    <row r="83" spans="5:97">
      <c r="E83" s="28"/>
      <c r="F83" s="28"/>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row>
    <row r="84" spans="5:97">
      <c r="E84" s="28"/>
      <c r="F84" s="28"/>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row>
    <row r="85" spans="5:97">
      <c r="E85" s="28"/>
      <c r="F85" s="28"/>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row>
    <row r="86" spans="5:97">
      <c r="E86" s="28"/>
      <c r="F86" s="28"/>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row>
    <row r="87" spans="5:97">
      <c r="E87" s="28"/>
      <c r="F87" s="28"/>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row>
    <row r="88" spans="5:97">
      <c r="E88" s="28"/>
      <c r="F88" s="28"/>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row>
    <row r="89" spans="5:97">
      <c r="E89" s="28"/>
      <c r="F89" s="28"/>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row>
    <row r="90" spans="5:97">
      <c r="E90" s="28"/>
      <c r="F90" s="28"/>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row>
    <row r="91" spans="5:97">
      <c r="E91" s="28"/>
      <c r="F91" s="28"/>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row>
    <row r="92" spans="5:97">
      <c r="E92" s="28"/>
      <c r="F92" s="28"/>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row>
    <row r="93" spans="5:97">
      <c r="E93" s="28"/>
      <c r="F93" s="28"/>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row>
    <row r="94" spans="5:97">
      <c r="E94" s="28"/>
      <c r="F94" s="28"/>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row>
    <row r="95" spans="5:97">
      <c r="E95" s="28"/>
      <c r="F95" s="28"/>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row>
    <row r="96" spans="5:97">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t="s">
        <v>46</v>
      </c>
      <c r="AZ96" s="49">
        <f>IF(OR($D$5="&lt;75",$D$5="76-150"),1.708,IF($D$5="151-350",1.793,IF($D$5="&gt;350",1.879,0)))</f>
        <v>1.7929999999999999</v>
      </c>
      <c r="BA96" s="49"/>
      <c r="BB96" s="49"/>
      <c r="BC96" s="49"/>
      <c r="BD96" s="49"/>
      <c r="BE96" s="49"/>
      <c r="BF96" s="49"/>
      <c r="BG96" s="49" t="e">
        <f>#N/A</f>
        <v>#N/A</v>
      </c>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row>
    <row r="97" spans="10:97">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t="s">
        <v>11</v>
      </c>
      <c r="AZ97" s="49">
        <f>IF(OR($D$5="&lt;75",$D$5="76-150"),1.676,IF($D$5="151-350",1.76,IF($D$5="&gt;350",1.844,0)))</f>
        <v>1.76</v>
      </c>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row>
    <row r="98" spans="10:97">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t="s">
        <v>36</v>
      </c>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row>
    <row r="99" spans="10:97">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row>
    <row r="100" spans="10:97">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row>
    <row r="101" spans="10:97">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989" t="s">
        <v>37</v>
      </c>
      <c r="BH101" s="989"/>
      <c r="BI101" s="989"/>
      <c r="BJ101" s="98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row>
    <row r="102" spans="10:97">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990"/>
      <c r="AW102" s="990"/>
      <c r="AX102" s="49" t="s">
        <v>87</v>
      </c>
      <c r="AY102" s="991" t="s">
        <v>38</v>
      </c>
      <c r="AZ102" s="991"/>
      <c r="BA102" s="49" t="s">
        <v>12</v>
      </c>
      <c r="BB102" s="49" t="s">
        <v>39</v>
      </c>
      <c r="BC102" s="49" t="s">
        <v>40</v>
      </c>
      <c r="BD102" s="49" t="s">
        <v>41</v>
      </c>
      <c r="BE102" s="49" t="s">
        <v>42</v>
      </c>
      <c r="BF102" s="49"/>
      <c r="BG102" s="49" t="s">
        <v>43</v>
      </c>
      <c r="BH102" s="49" t="s">
        <v>19</v>
      </c>
      <c r="BI102" s="50" t="s">
        <v>44</v>
      </c>
      <c r="BJ102" s="49" t="s">
        <v>45</v>
      </c>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row>
    <row r="103" spans="10:97">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t="s">
        <v>348</v>
      </c>
      <c r="AY103" s="49" t="s">
        <v>349</v>
      </c>
      <c r="AZ103" s="668"/>
      <c r="BA103" s="49">
        <v>0</v>
      </c>
      <c r="BB103" s="49" t="s">
        <v>37</v>
      </c>
      <c r="BC103" s="49" t="s">
        <v>37</v>
      </c>
      <c r="BD103" s="49" t="s">
        <v>47</v>
      </c>
      <c r="BE103" s="49" t="s">
        <v>14</v>
      </c>
      <c r="BF103" s="49" t="s">
        <v>17</v>
      </c>
      <c r="BG103" s="330">
        <v>1.708</v>
      </c>
      <c r="BH103" s="330">
        <v>1.708</v>
      </c>
      <c r="BI103" s="330">
        <v>1.7930000000000001</v>
      </c>
      <c r="BJ103" s="330">
        <v>1.879</v>
      </c>
      <c r="BK103" s="49"/>
      <c r="BL103" s="49"/>
      <c r="BM103" s="49"/>
      <c r="BN103" s="49" t="s">
        <v>17</v>
      </c>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row>
    <row r="104" spans="10:97">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t="s">
        <v>350</v>
      </c>
      <c r="AY104" s="668" t="s">
        <v>351</v>
      </c>
      <c r="AZ104" s="668"/>
      <c r="BA104" s="49">
        <v>20</v>
      </c>
      <c r="BB104" s="49" t="s">
        <v>49</v>
      </c>
      <c r="BC104" s="49" t="s">
        <v>49</v>
      </c>
      <c r="BD104" s="49" t="s">
        <v>19</v>
      </c>
      <c r="BE104" s="49" t="s">
        <v>50</v>
      </c>
      <c r="BF104" s="49" t="s">
        <v>51</v>
      </c>
      <c r="BG104" s="330">
        <v>1.7930000000000001</v>
      </c>
      <c r="BH104" s="330">
        <v>1.7930000000000001</v>
      </c>
      <c r="BI104" s="330">
        <v>1.883</v>
      </c>
      <c r="BJ104" s="330">
        <v>1.9729999999999999</v>
      </c>
      <c r="BK104" s="49"/>
      <c r="BL104" s="49"/>
      <c r="BM104" s="49"/>
      <c r="BN104" s="49" t="s">
        <v>51</v>
      </c>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row>
    <row r="105" spans="10:97">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t="s">
        <v>352</v>
      </c>
      <c r="AY105" s="49" t="s">
        <v>353</v>
      </c>
      <c r="AZ105" s="49"/>
      <c r="BA105" s="49">
        <v>25</v>
      </c>
      <c r="BB105" s="49" t="s">
        <v>52</v>
      </c>
      <c r="BC105" s="49"/>
      <c r="BD105" s="49" t="s">
        <v>44</v>
      </c>
      <c r="BE105" s="49"/>
      <c r="BF105" s="49">
        <v>10.1</v>
      </c>
      <c r="BG105" s="330">
        <v>1.8359999999999999</v>
      </c>
      <c r="BH105" s="330">
        <v>1.8359999999999999</v>
      </c>
      <c r="BI105" s="330">
        <v>1.9279999999999999</v>
      </c>
      <c r="BJ105" s="330">
        <v>2.02</v>
      </c>
      <c r="BK105" s="49"/>
      <c r="BL105" s="49"/>
      <c r="BM105" s="49"/>
      <c r="BN105" s="49" t="s">
        <v>53</v>
      </c>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row>
    <row r="106" spans="10:97">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t="s">
        <v>354</v>
      </c>
      <c r="AY106" s="49" t="s">
        <v>355</v>
      </c>
      <c r="AZ106" s="668"/>
      <c r="BA106" s="49">
        <v>35</v>
      </c>
      <c r="BB106" s="49"/>
      <c r="BC106" s="49"/>
      <c r="BD106" s="49" t="s">
        <v>45</v>
      </c>
      <c r="BE106" s="49"/>
      <c r="BF106" s="49"/>
      <c r="BG106" s="49"/>
      <c r="BH106" s="330"/>
      <c r="BI106" s="330"/>
      <c r="BJ106" s="330"/>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row>
    <row r="107" spans="10:97">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t="s">
        <v>356</v>
      </c>
      <c r="AY107" s="49" t="s">
        <v>357</v>
      </c>
      <c r="AZ107" s="49"/>
      <c r="BA107" s="49">
        <v>45</v>
      </c>
      <c r="BB107" s="49"/>
      <c r="BC107" s="49"/>
      <c r="BD107" s="49"/>
      <c r="BE107" s="49"/>
      <c r="BF107" s="49"/>
      <c r="BG107" s="984" t="s">
        <v>49</v>
      </c>
      <c r="BH107" s="984"/>
      <c r="BI107" s="984"/>
      <c r="BJ107" s="984"/>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row>
    <row r="108" spans="10:97">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t="s">
        <v>358</v>
      </c>
      <c r="AY108" s="49" t="s">
        <v>359</v>
      </c>
      <c r="AZ108" s="49"/>
      <c r="BA108" s="49">
        <v>50</v>
      </c>
      <c r="BB108" s="49"/>
      <c r="BC108" s="49"/>
      <c r="BD108" s="49"/>
      <c r="BE108" s="49"/>
      <c r="BF108" s="49"/>
      <c r="BG108" s="49" t="s">
        <v>47</v>
      </c>
      <c r="BH108" s="49" t="s">
        <v>19</v>
      </c>
      <c r="BI108" s="50" t="s">
        <v>44</v>
      </c>
      <c r="BJ108" s="49" t="s">
        <v>45</v>
      </c>
      <c r="BK108" s="49"/>
      <c r="BL108" s="49"/>
      <c r="BM108" s="49"/>
      <c r="BN108" s="49"/>
      <c r="BO108" s="49"/>
      <c r="BP108" s="50"/>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row>
    <row r="109" spans="10:97">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t="s">
        <v>17</v>
      </c>
      <c r="BG109" s="330">
        <v>1.6760000000000002</v>
      </c>
      <c r="BH109" s="330">
        <v>1.6760000000000002</v>
      </c>
      <c r="BI109" s="330">
        <v>1.76</v>
      </c>
      <c r="BJ109" s="330">
        <v>1.8439999999999999</v>
      </c>
      <c r="BK109" s="49"/>
      <c r="BL109" s="49"/>
      <c r="BM109" s="49"/>
      <c r="BN109" s="330"/>
      <c r="BO109" s="330"/>
      <c r="BP109" s="330"/>
      <c r="BQ109" s="330"/>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row>
    <row r="110" spans="10:97">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t="s">
        <v>51</v>
      </c>
      <c r="BG110" s="330">
        <v>1.76</v>
      </c>
      <c r="BH110" s="330">
        <v>1.76</v>
      </c>
      <c r="BI110" s="330">
        <v>1.8479999999999999</v>
      </c>
      <c r="BJ110" s="330">
        <v>1.9359999999999999</v>
      </c>
      <c r="BK110" s="49"/>
      <c r="BL110" s="49"/>
      <c r="BM110" s="49"/>
      <c r="BN110" s="330"/>
      <c r="BO110" s="330"/>
      <c r="BP110" s="330"/>
      <c r="BQ110" s="330"/>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row>
    <row r="111" spans="10:97">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v>10.1</v>
      </c>
      <c r="BG111" s="330">
        <v>1.802</v>
      </c>
      <c r="BH111" s="330">
        <v>1.802</v>
      </c>
      <c r="BI111" s="330">
        <v>1.8919999999999999</v>
      </c>
      <c r="BJ111" s="330">
        <v>1.982</v>
      </c>
      <c r="BK111" s="49"/>
      <c r="BL111" s="49"/>
      <c r="BM111" s="49"/>
      <c r="BN111" s="330"/>
      <c r="BO111" s="330"/>
      <c r="BP111" s="330"/>
      <c r="BQ111" s="330"/>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row>
    <row r="112" spans="10:97">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609"/>
      <c r="BH112" s="331"/>
      <c r="BI112" s="331"/>
      <c r="BJ112" s="331"/>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row>
    <row r="113" spans="10:97">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57"/>
      <c r="AW113" s="57"/>
      <c r="AX113" s="57"/>
      <c r="AY113" s="57"/>
      <c r="AZ113" s="57"/>
      <c r="BA113" s="57"/>
      <c r="BB113" s="57"/>
      <c r="BC113" s="57"/>
      <c r="BD113" s="57"/>
      <c r="BE113" s="57"/>
      <c r="BF113" s="57"/>
      <c r="BG113" s="57"/>
      <c r="BH113" s="57"/>
      <c r="BI113" s="57"/>
      <c r="BJ113" s="57"/>
      <c r="BK113" s="57"/>
      <c r="BL113" s="57"/>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row>
    <row r="114" spans="10:97">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57"/>
      <c r="AW114" s="57"/>
      <c r="AX114" s="57"/>
      <c r="AY114" s="57"/>
      <c r="AZ114" s="57"/>
      <c r="BA114" s="669"/>
      <c r="BB114" s="669"/>
      <c r="BC114" s="669"/>
      <c r="BD114" s="669"/>
      <c r="BE114" s="669"/>
      <c r="BF114" s="669"/>
      <c r="BG114" s="669"/>
      <c r="BH114" s="669"/>
      <c r="BI114" s="669"/>
      <c r="BJ114" s="669"/>
      <c r="BK114" s="669"/>
      <c r="BL114" s="670"/>
      <c r="BM114" s="671"/>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row>
    <row r="115" spans="10:97">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672"/>
      <c r="AW115" s="672"/>
      <c r="AX115" s="672"/>
      <c r="AY115" s="672"/>
      <c r="AZ115" s="672"/>
      <c r="BA115" s="672"/>
      <c r="BB115" s="669"/>
      <c r="BC115" s="669"/>
      <c r="BD115" s="669"/>
      <c r="BE115" s="669"/>
      <c r="BF115" s="669"/>
      <c r="BG115" s="669"/>
      <c r="BH115" s="669"/>
      <c r="BI115" s="669"/>
      <c r="BJ115" s="669"/>
      <c r="BK115" s="669"/>
      <c r="BL115" s="670"/>
      <c r="BM115" s="671"/>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row>
    <row r="116" spans="10:97">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672"/>
      <c r="AW116" s="673"/>
      <c r="AX116" s="672" t="s">
        <v>348</v>
      </c>
      <c r="AY116" s="672"/>
      <c r="AZ116" s="672"/>
      <c r="BA116" s="672" t="s">
        <v>360</v>
      </c>
      <c r="BB116" s="674"/>
      <c r="BC116" s="674"/>
      <c r="BD116" s="669"/>
      <c r="BE116" s="669"/>
      <c r="BF116" s="669"/>
      <c r="BG116" s="669"/>
      <c r="BH116" s="669"/>
      <c r="BI116" s="669"/>
      <c r="BJ116" s="669"/>
      <c r="BK116" s="669"/>
      <c r="BL116" s="670"/>
      <c r="BM116" s="671"/>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row>
    <row r="117" spans="10:97">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672" t="s">
        <v>361</v>
      </c>
      <c r="AW117" s="675">
        <f>B5</f>
        <v>43487</v>
      </c>
      <c r="AX117" s="672" t="s">
        <v>350</v>
      </c>
      <c r="AY117" s="672"/>
      <c r="AZ117" s="672"/>
      <c r="BA117" s="672" t="str">
        <f ca="1">AW120</f>
        <v>&gt;0</v>
      </c>
      <c r="BB117" s="669" t="s">
        <v>362</v>
      </c>
      <c r="BC117" s="669">
        <f>B3</f>
        <v>70000</v>
      </c>
      <c r="BD117" s="669"/>
      <c r="BE117" s="669"/>
      <c r="BF117" s="669"/>
      <c r="BG117" s="669"/>
      <c r="BH117" s="669"/>
      <c r="BI117" s="669"/>
      <c r="BJ117" s="669"/>
      <c r="BK117" s="669"/>
      <c r="BL117" s="670"/>
      <c r="BM117" s="671"/>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row>
    <row r="118" spans="10:97">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672" t="s">
        <v>363</v>
      </c>
      <c r="AW118" s="672" t="e">
        <f>#N/A</f>
        <v>#N/A</v>
      </c>
      <c r="AX118" s="672" t="s">
        <v>352</v>
      </c>
      <c r="AY118" s="672"/>
      <c r="AZ118" s="672"/>
      <c r="BA118" s="672" t="str">
        <f ca="1">AW122</f>
        <v>&gt;1</v>
      </c>
      <c r="BB118" s="669">
        <v>2</v>
      </c>
      <c r="BC118" s="669"/>
      <c r="BD118" s="669"/>
      <c r="BE118" s="669"/>
      <c r="BF118" s="669"/>
      <c r="BG118" s="669"/>
      <c r="BH118" s="669"/>
      <c r="BI118" s="669"/>
      <c r="BJ118" s="669"/>
      <c r="BK118" s="669"/>
      <c r="BL118" s="670"/>
      <c r="BM118" s="671"/>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row>
    <row r="119" spans="10:97">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672" t="s">
        <v>364</v>
      </c>
      <c r="AW119" s="675">
        <f ca="1">(TODAY()-AW117)</f>
        <v>192</v>
      </c>
      <c r="AX119" s="672" t="s">
        <v>354</v>
      </c>
      <c r="AY119" s="672"/>
      <c r="AZ119" s="672"/>
      <c r="BA119" s="672" t="str">
        <f ca="1">AW124</f>
        <v>&gt;2</v>
      </c>
      <c r="BB119" s="669">
        <v>3</v>
      </c>
      <c r="BC119" s="669"/>
      <c r="BD119" s="669"/>
      <c r="BE119" s="669"/>
      <c r="BF119" s="669"/>
      <c r="BG119" s="669"/>
      <c r="BH119" s="669"/>
      <c r="BI119" s="669"/>
      <c r="BJ119" s="669"/>
      <c r="BK119" s="669"/>
      <c r="BL119" s="670"/>
      <c r="BM119" s="671"/>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row>
    <row r="120" spans="10:97">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672" t="s">
        <v>365</v>
      </c>
      <c r="AW120" s="676" t="str">
        <f ca="1">IF(AW119&gt;2190,"&gt;6",IF(AW119&gt;1825,"&gt;5",IF(AW119&gt;1460,"&gt;4",IF(AW119&gt;1095,"&gt;3",IF(AW119&gt;730,"&gt;2",IF(AW119&gt;365,"&gt;1","&gt;0"))))))</f>
        <v>&gt;0</v>
      </c>
      <c r="AX120" s="672" t="s">
        <v>356</v>
      </c>
      <c r="AY120" s="672"/>
      <c r="AZ120" s="672"/>
      <c r="BA120" s="672"/>
      <c r="BB120" s="669"/>
      <c r="BC120" s="669"/>
      <c r="BD120" s="669"/>
      <c r="BE120" s="669"/>
      <c r="BF120" s="669"/>
      <c r="BG120" s="669"/>
      <c r="BH120" s="669"/>
      <c r="BI120" s="669"/>
      <c r="BJ120" s="669"/>
      <c r="BK120" s="669"/>
      <c r="BL120" s="670"/>
      <c r="BM120" s="671"/>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row>
    <row r="121" spans="10:97">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672" t="s">
        <v>366</v>
      </c>
      <c r="AW121" s="675">
        <f ca="1">AW119+365</f>
        <v>557</v>
      </c>
      <c r="AX121" s="672" t="s">
        <v>358</v>
      </c>
      <c r="AY121" s="672"/>
      <c r="AZ121" s="672"/>
      <c r="BA121" s="672"/>
      <c r="BB121" s="669"/>
      <c r="BC121" s="669"/>
      <c r="BD121" s="669"/>
      <c r="BE121" s="669"/>
      <c r="BF121" s="669"/>
      <c r="BG121" s="669"/>
      <c r="BH121" s="669"/>
      <c r="BI121" s="669"/>
      <c r="BJ121" s="669"/>
      <c r="BK121" s="669"/>
      <c r="BL121" s="670"/>
      <c r="BM121" s="671"/>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row>
    <row r="122" spans="10:97">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673" t="s">
        <v>385</v>
      </c>
      <c r="AW122" s="676" t="str">
        <f ca="1">IF(AW121&gt;2190,"&gt;6",IF(AW121&gt;1825,"&gt;5",IF(AW121&gt;1460,"&gt;4",IF(AW121&gt;1095,"&gt;3",IF(AW121&gt;730,"&gt;2",IF(AW121&gt;365,"&gt;1","&gt;0"))))))</f>
        <v>&gt;1</v>
      </c>
      <c r="AX122" s="672"/>
      <c r="AY122" s="672"/>
      <c r="AZ122" s="672"/>
      <c r="BA122" s="672"/>
      <c r="BB122" s="669"/>
      <c r="BC122" s="669"/>
      <c r="BD122" s="669" t="s">
        <v>367</v>
      </c>
      <c r="BE122" s="669">
        <f ca="1">VLOOKUP(D4,BD125:BE131,2,0)</f>
        <v>0.15790000000000001</v>
      </c>
      <c r="BF122" s="669">
        <f ca="1">BE122*BC117</f>
        <v>11053</v>
      </c>
      <c r="BG122" s="677">
        <f ca="1">BC117-BF122</f>
        <v>58947</v>
      </c>
      <c r="BH122" s="669"/>
      <c r="BI122" s="669"/>
      <c r="BJ122" s="669"/>
      <c r="BK122" s="669"/>
      <c r="BL122" s="670"/>
      <c r="BM122" s="671"/>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row>
    <row r="123" spans="10:97">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672" t="s">
        <v>366</v>
      </c>
      <c r="AW123" s="675">
        <f ca="1">AW121+365</f>
        <v>922</v>
      </c>
      <c r="AX123" s="672"/>
      <c r="AY123" s="672"/>
      <c r="AZ123" s="672"/>
      <c r="BA123" s="672"/>
      <c r="BB123" s="669"/>
      <c r="BC123" s="669"/>
      <c r="BD123" s="669" t="s">
        <v>368</v>
      </c>
      <c r="BE123" s="669">
        <f ca="1">VLOOKUP(D4,BD125:BF131,3,0)</f>
        <v>0.10525714285714301</v>
      </c>
      <c r="BF123" s="669">
        <f ca="1">BE123*BC117</f>
        <v>7368.0000000000109</v>
      </c>
      <c r="BG123" s="669">
        <f ca="1">BG122-BF123</f>
        <v>51578.999999999985</v>
      </c>
      <c r="BH123" s="669"/>
      <c r="BI123" s="669"/>
      <c r="BJ123" s="669"/>
      <c r="BK123" s="669"/>
      <c r="BL123" s="670"/>
      <c r="BM123" s="671"/>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row>
    <row r="124" spans="10:97">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672" t="s">
        <v>386</v>
      </c>
      <c r="AW124" s="676" t="str">
        <f ca="1">IF(AW123&gt;2190,"&gt;6",IF(AW123&gt;1825,"&gt;5",IF(AW123&gt;1460,"&gt;4",IF(AW123&gt;1095,"&gt;3",IF(AW123&gt;730,"&gt;2",IF(AW123&gt;365,"&gt;1","&gt;0"))))))</f>
        <v>&gt;2</v>
      </c>
      <c r="AX124" s="672"/>
      <c r="AY124" s="672"/>
      <c r="AZ124" s="672"/>
      <c r="BA124" s="672"/>
      <c r="BB124" s="669"/>
      <c r="BC124" s="669"/>
      <c r="BD124" s="669"/>
      <c r="BE124" s="669"/>
      <c r="BF124" s="669"/>
      <c r="BG124" s="669"/>
      <c r="BH124" s="669"/>
      <c r="BI124" s="669"/>
      <c r="BJ124" s="669"/>
      <c r="BK124" s="669"/>
      <c r="BL124" s="670"/>
      <c r="BM124" s="671"/>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row>
    <row r="125" spans="10:97">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672"/>
      <c r="AW125" s="672" t="s">
        <v>369</v>
      </c>
      <c r="AX125" s="672" t="s">
        <v>370</v>
      </c>
      <c r="AY125" s="672" t="s">
        <v>371</v>
      </c>
      <c r="AZ125" s="672" t="s">
        <v>372</v>
      </c>
      <c r="BA125" s="672"/>
      <c r="BB125" s="669">
        <v>0.15790000000000001</v>
      </c>
      <c r="BC125" s="669"/>
      <c r="BD125" s="669" t="s">
        <v>373</v>
      </c>
      <c r="BE125" s="669">
        <v>0.15790000000000001</v>
      </c>
      <c r="BF125" s="669">
        <v>0.10525714285714301</v>
      </c>
      <c r="BG125" s="669"/>
      <c r="BH125" s="669"/>
      <c r="BI125" s="669"/>
      <c r="BJ125" s="669"/>
      <c r="BK125" s="669"/>
      <c r="BL125" s="670"/>
      <c r="BM125" s="671"/>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row>
    <row r="126" spans="10:97">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672" t="s">
        <v>374</v>
      </c>
      <c r="AW126" s="672">
        <f ca="1">IF(OR($AW$120&lt;&gt;"&gt;6",$AW$120&lt;&gt;"&gt;5"),IF(OR($D$5="&lt;75",$D$5="76-150"),1.708,IF($D$5="151-350",1.793,IF($D$5="&gt;350",1.879,0))))</f>
        <v>1.7929999999999999</v>
      </c>
      <c r="AX126" s="672">
        <f ca="1">IF(OR($AW$120&lt;&gt;"&gt;6",$AW$120&lt;&gt;"&gt;5"),IF(OR($D$5="&lt;75",$D$5="76-150"),1.676,IF($D$5="151-350",1.76,IF($D$5="&gt;350",1.844,0))))</f>
        <v>1.76</v>
      </c>
      <c r="AY126" s="672">
        <f>IF(OR($D$5="&lt;75",$D$5="76-150"),1.793,IF($D$5="151-350",1.883,IF($D$5="&gt;350",1.973,0)))</f>
        <v>1.883</v>
      </c>
      <c r="AZ126" s="672">
        <f>IF(OR($D$5="&lt;75",$D$5="76-150"),1.76,IF($D$5="151-350",1.848,IF($D$5="&gt;350",1.936,0)))</f>
        <v>1.8480000000000001</v>
      </c>
      <c r="BA126" s="672"/>
      <c r="BB126" s="669">
        <v>0.125</v>
      </c>
      <c r="BC126" s="669"/>
      <c r="BD126" s="669" t="s">
        <v>375</v>
      </c>
      <c r="BE126" s="669">
        <v>0.125</v>
      </c>
      <c r="BF126" s="669">
        <v>0.125</v>
      </c>
      <c r="BG126" s="669"/>
      <c r="BH126" s="669"/>
      <c r="BI126" s="669"/>
      <c r="BJ126" s="669"/>
      <c r="BK126" s="669"/>
      <c r="BL126" s="670"/>
      <c r="BM126" s="671"/>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row>
    <row r="127" spans="10:97">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1004" t="s">
        <v>46</v>
      </c>
      <c r="AW127" s="1004"/>
      <c r="AX127" s="672" t="s">
        <v>11</v>
      </c>
      <c r="AY127" s="672"/>
      <c r="AZ127" s="672"/>
      <c r="BA127" s="672"/>
      <c r="BB127" s="669">
        <v>0.14285714285714302</v>
      </c>
      <c r="BC127" s="669"/>
      <c r="BD127" s="669" t="s">
        <v>376</v>
      </c>
      <c r="BE127" s="669">
        <v>0.14285714285714302</v>
      </c>
      <c r="BF127" s="669">
        <v>0.14285714285714302</v>
      </c>
      <c r="BG127" s="669"/>
      <c r="BH127" s="669"/>
      <c r="BI127" s="669"/>
      <c r="BJ127" s="669"/>
      <c r="BK127" s="669"/>
      <c r="BL127" s="670"/>
      <c r="BM127" s="671"/>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row>
    <row r="128" spans="10:97">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672" t="s">
        <v>374</v>
      </c>
      <c r="AW128" s="672">
        <f ca="1">IF(AND($AW$120&lt;&gt;"&gt;6",$AW$120&lt;&gt;"&gt;5"),$AW$126,$AY$126)</f>
        <v>1.7929999999999999</v>
      </c>
      <c r="AX128" s="672" t="s">
        <v>374</v>
      </c>
      <c r="AY128" s="672">
        <f ca="1">IF(AND($AW$120&lt;&gt;"&gt;6",$AW$120&lt;&gt;"&gt;5"),$AX$126,$AZ$126)</f>
        <v>1.76</v>
      </c>
      <c r="AZ128" s="672"/>
      <c r="BA128" s="672"/>
      <c r="BB128" s="669">
        <v>0.16667142857142903</v>
      </c>
      <c r="BC128" s="669"/>
      <c r="BD128" s="669" t="s">
        <v>377</v>
      </c>
      <c r="BE128" s="669">
        <v>0.16667142857142903</v>
      </c>
      <c r="BF128" s="669">
        <v>8.3328571428571405E-2</v>
      </c>
      <c r="BG128" s="669"/>
      <c r="BH128" s="669"/>
      <c r="BI128" s="669"/>
      <c r="BJ128" s="669"/>
      <c r="BK128" s="669"/>
      <c r="BL128" s="670"/>
      <c r="BM128" s="671"/>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row>
    <row r="129" spans="10:97">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672" t="s">
        <v>387</v>
      </c>
      <c r="AW129" s="672">
        <f ca="1">IF(AND($AW$122&lt;&gt;"&gt;6",$AW$122&lt;&gt;"&gt;5"),$AW$126,$AY$126)</f>
        <v>1.7929999999999999</v>
      </c>
      <c r="AX129" s="672" t="s">
        <v>387</v>
      </c>
      <c r="AY129" s="672">
        <f ca="1">IF(AND($AW$122&lt;&gt;"&gt;6",$AW$122&lt;&gt;"&gt;5"),$AX$126,$AZ$126)</f>
        <v>1.76</v>
      </c>
      <c r="AZ129" s="672"/>
      <c r="BA129" s="672"/>
      <c r="BB129" s="669">
        <v>0.1</v>
      </c>
      <c r="BC129" s="669"/>
      <c r="BD129" s="669" t="s">
        <v>378</v>
      </c>
      <c r="BE129" s="669">
        <v>0.1</v>
      </c>
      <c r="BF129" s="669">
        <v>0.1</v>
      </c>
      <c r="BG129" s="669"/>
      <c r="BH129" s="669"/>
      <c r="BI129" s="669"/>
      <c r="BJ129" s="669"/>
      <c r="BK129" s="669"/>
      <c r="BL129" s="670"/>
      <c r="BM129" s="671"/>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row>
    <row r="130" spans="10:97">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672" t="s">
        <v>389</v>
      </c>
      <c r="AW130" s="672">
        <f ca="1">IF(AND($AW$124&lt;&gt;"&gt;6",$AW$124&lt;&gt;"&gt;5"),$AW$126,$AY$126)</f>
        <v>1.7929999999999999</v>
      </c>
      <c r="AX130" s="672" t="s">
        <v>389</v>
      </c>
      <c r="AY130" s="672">
        <f ca="1">IF(AND($AW$124&lt;&gt;"&gt;6",$AW$124&lt;&gt;"&gt;5"),$AX$126,$AZ$126)</f>
        <v>1.76</v>
      </c>
      <c r="AZ130" s="672"/>
      <c r="BA130" s="672"/>
      <c r="BB130" s="669">
        <v>0.111116666666667</v>
      </c>
      <c r="BC130" s="669"/>
      <c r="BD130" s="669" t="s">
        <v>379</v>
      </c>
      <c r="BE130" s="669">
        <v>0.111116666666667</v>
      </c>
      <c r="BF130" s="669">
        <v>0.1111</v>
      </c>
      <c r="BG130" s="669"/>
      <c r="BH130" s="669"/>
      <c r="BI130" s="669"/>
      <c r="BJ130" s="669"/>
      <c r="BK130" s="669"/>
      <c r="BL130" s="670"/>
      <c r="BM130" s="671"/>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row>
    <row r="131" spans="10:97">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672"/>
      <c r="AW131" s="672"/>
      <c r="AX131" s="672"/>
      <c r="AY131" s="672"/>
      <c r="AZ131" s="672"/>
      <c r="BA131" s="672"/>
      <c r="BB131" s="669">
        <v>0.125</v>
      </c>
      <c r="BC131" s="669"/>
      <c r="BD131" s="669" t="s">
        <v>380</v>
      </c>
      <c r="BE131" s="669">
        <v>0.125</v>
      </c>
      <c r="BF131" s="669">
        <v>0.125</v>
      </c>
      <c r="BG131" s="669"/>
      <c r="BH131" s="669"/>
      <c r="BI131" s="669"/>
      <c r="BJ131" s="669"/>
      <c r="BK131" s="669"/>
      <c r="BL131" s="670"/>
      <c r="BM131" s="671"/>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row>
    <row r="132" spans="10:97">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672" t="s">
        <v>381</v>
      </c>
      <c r="AW132" s="672">
        <f ca="1">IF($B$4="Zone A",$AW$128,IF($B$4="Zone B",$AY$128,0))</f>
        <v>1.7929999999999999</v>
      </c>
      <c r="AX132" s="672"/>
      <c r="AY132" s="672"/>
      <c r="AZ132" s="672"/>
      <c r="BA132" s="672"/>
      <c r="BB132" s="669"/>
      <c r="BC132" s="669"/>
      <c r="BD132" s="669"/>
      <c r="BE132" s="669"/>
      <c r="BF132" s="669"/>
      <c r="BG132" s="669"/>
      <c r="BH132" s="669"/>
      <c r="BI132" s="669"/>
      <c r="BJ132" s="669"/>
      <c r="BK132" s="669"/>
      <c r="BL132" s="670"/>
      <c r="BM132" s="671"/>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row>
    <row r="133" spans="10:97">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672" t="s">
        <v>388</v>
      </c>
      <c r="AW133" s="672">
        <f ca="1">IF($B$4="Zone A",$AW$129,IF($B$4="Zone B",$AY$129,0))</f>
        <v>1.7929999999999999</v>
      </c>
      <c r="AX133" s="672"/>
      <c r="AY133" s="672"/>
      <c r="AZ133" s="672"/>
      <c r="BA133" s="672"/>
      <c r="BB133" s="669"/>
      <c r="BC133" s="669"/>
      <c r="BD133" s="669"/>
      <c r="BE133" s="669"/>
      <c r="BF133" s="669"/>
      <c r="BG133" s="669"/>
      <c r="BH133" s="669"/>
      <c r="BI133" s="669"/>
      <c r="BJ133" s="669"/>
      <c r="BK133" s="669"/>
      <c r="BL133" s="670"/>
      <c r="BM133" s="671"/>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row>
    <row r="134" spans="10:97" ht="17.25">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672" t="s">
        <v>542</v>
      </c>
      <c r="AW134" s="672">
        <f ca="1">IF($B$4="Zone A",$AW$130,IF($B$4="Zone B",$AY$130,0))</f>
        <v>1.7929999999999999</v>
      </c>
      <c r="AX134" s="672"/>
      <c r="AY134" s="672"/>
      <c r="AZ134" s="672"/>
      <c r="BA134" s="672"/>
      <c r="BB134" s="669"/>
      <c r="BC134" s="669"/>
      <c r="BD134" s="669"/>
      <c r="BE134" s="669"/>
      <c r="BF134" s="669"/>
      <c r="BG134" s="669"/>
      <c r="BH134" s="669"/>
      <c r="BI134" s="669"/>
      <c r="BJ134" s="669"/>
      <c r="BK134" s="669"/>
      <c r="BL134" s="670"/>
      <c r="BM134" s="671"/>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row>
    <row r="135" spans="10:97">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672"/>
      <c r="AW135" s="672"/>
      <c r="AX135" s="672"/>
      <c r="AY135" s="672"/>
      <c r="AZ135" s="672"/>
      <c r="BA135" s="672"/>
      <c r="BB135" s="670"/>
      <c r="BC135" s="670"/>
      <c r="BD135" s="670"/>
      <c r="BE135" s="670"/>
      <c r="BF135" s="670"/>
      <c r="BG135" s="670"/>
      <c r="BH135" s="670"/>
      <c r="BI135" s="670"/>
      <c r="BJ135" s="670"/>
      <c r="BK135" s="670"/>
      <c r="BL135" s="670"/>
      <c r="BM135" s="671"/>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row>
    <row r="136" spans="10:97" ht="17.25">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672" t="s">
        <v>543</v>
      </c>
      <c r="AW136" s="678">
        <f ca="1">IF(D4="&gt;0",0.12,IF(D4="&gt;1",0.22,IF(D4="&gt;2",0.3,IF(D4="&gt;3",0.4,IF(D4="&gt;4",0.6,0)))))</f>
        <v>0.12</v>
      </c>
      <c r="AX136" s="672"/>
      <c r="AY136" s="672"/>
      <c r="AZ136" s="672"/>
      <c r="BA136" s="672"/>
      <c r="BB136" s="670"/>
      <c r="BC136" s="670"/>
      <c r="BD136" s="670"/>
      <c r="BE136" s="670"/>
      <c r="BF136" s="670"/>
      <c r="BG136" s="670"/>
      <c r="BH136" s="670"/>
      <c r="BI136" s="670"/>
      <c r="BJ136" s="670"/>
      <c r="BK136" s="670"/>
      <c r="BL136" s="670"/>
      <c r="BM136" s="671"/>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row>
    <row r="137" spans="10:97" ht="17.25">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672" t="s">
        <v>544</v>
      </c>
      <c r="AW137" s="672">
        <f ca="1">IF(AW122="&gt;0",0.12,IF(AW122="&gt;1",0.22,IF(AW122="&gt;2",0.3,IF(AW122="&gt;3",0.4,IF(AW122="&gt;4",0.6,0)))))</f>
        <v>0.22</v>
      </c>
      <c r="AX137" s="672"/>
      <c r="AY137" s="672"/>
      <c r="AZ137" s="672"/>
      <c r="BA137" s="672"/>
      <c r="BB137" s="670"/>
      <c r="BC137" s="670" t="s">
        <v>652</v>
      </c>
      <c r="BD137" s="670">
        <f>IF($D$5="&lt;75",1045,IF($D$5="76-150",3285,IF($D$5="151-350",5453,IF($D$5="&gt;350",13034,0))))</f>
        <v>5453</v>
      </c>
      <c r="BE137" s="670"/>
      <c r="BF137" s="670"/>
      <c r="BG137" s="670"/>
      <c r="BH137" s="670"/>
      <c r="BI137" s="670"/>
      <c r="BJ137" s="670"/>
      <c r="BK137" s="670"/>
      <c r="BL137" s="670"/>
      <c r="BM137" s="671"/>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row>
    <row r="138" spans="10:97" ht="17.25">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672" t="s">
        <v>545</v>
      </c>
      <c r="AW138" s="672">
        <f ca="1">IF(AW124="&gt;0",0.12,IF(AW124="&gt;1",0.22,IF(AW124="&gt;2",0.3,IF(AW124="&gt;3",0.4,IF(AW124="&gt;4",0.6,0)))))</f>
        <v>0.3</v>
      </c>
      <c r="AX138" s="672"/>
      <c r="AY138" s="672"/>
      <c r="AZ138" s="672"/>
      <c r="BA138" s="672"/>
      <c r="BB138" s="57"/>
      <c r="BC138" s="57" t="s">
        <v>653</v>
      </c>
      <c r="BD138" s="57">
        <f>IF($D$5="&lt;75",888,IF($D$5="76-150",2792,IF($D$5="151-350",4635,IF($D$5="&gt;350",11079,0))))</f>
        <v>4635</v>
      </c>
      <c r="BE138" s="57"/>
      <c r="BF138" s="57"/>
      <c r="BG138" s="57"/>
      <c r="BH138" s="57"/>
      <c r="BI138" s="57"/>
      <c r="BJ138" s="57"/>
      <c r="BK138" s="57"/>
      <c r="BL138" s="57"/>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row>
    <row r="139" spans="10:97">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672"/>
      <c r="AW139" s="672"/>
      <c r="AX139" s="672"/>
      <c r="AY139" s="672"/>
      <c r="AZ139" s="672"/>
      <c r="BA139" s="672"/>
      <c r="BB139" s="57"/>
      <c r="BC139" s="57"/>
      <c r="BD139" s="57"/>
      <c r="BE139" s="57"/>
      <c r="BF139" s="57"/>
      <c r="BG139" s="57"/>
      <c r="BH139" s="57"/>
      <c r="BI139" s="57"/>
      <c r="BJ139" s="57"/>
      <c r="BK139" s="57"/>
      <c r="BL139" s="57"/>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row>
    <row r="140" spans="10:97">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1005" t="s">
        <v>604</v>
      </c>
      <c r="AW140" s="1005"/>
      <c r="AX140" s="712" t="s">
        <v>609</v>
      </c>
      <c r="AY140" s="672"/>
      <c r="AZ140" s="672" t="s">
        <v>621</v>
      </c>
      <c r="BA140" s="672"/>
      <c r="BB140" s="57"/>
      <c r="BC140" s="57"/>
      <c r="BD140" s="57"/>
      <c r="BE140" s="57"/>
      <c r="BF140" s="57"/>
      <c r="BG140" s="57"/>
      <c r="BH140" s="57"/>
      <c r="BI140" s="57"/>
      <c r="BJ140" s="57"/>
      <c r="BK140" s="57"/>
      <c r="BL140" s="57"/>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row>
    <row r="141" spans="10:97">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686" t="s">
        <v>373</v>
      </c>
      <c r="AW141" s="5">
        <v>0.11</v>
      </c>
      <c r="AX141" s="712">
        <v>9.1999999999999998E-2</v>
      </c>
      <c r="AY141" s="672"/>
      <c r="AZ141" s="672" t="s">
        <v>623</v>
      </c>
      <c r="BA141" s="843">
        <f ca="1">B30%*B3</f>
        <v>77</v>
      </c>
      <c r="BB141" s="57"/>
      <c r="BC141" s="57"/>
      <c r="BD141" s="57"/>
      <c r="BE141" s="57"/>
      <c r="BF141" s="57"/>
      <c r="BG141" s="57"/>
      <c r="BH141" s="57"/>
      <c r="BI141" s="57"/>
      <c r="BJ141" s="57"/>
      <c r="BK141" s="57"/>
      <c r="BL141" s="57"/>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row>
    <row r="142" spans="10:97">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686" t="s">
        <v>375</v>
      </c>
      <c r="AW142" s="5">
        <v>0.13</v>
      </c>
      <c r="AX142" s="712">
        <v>0.104</v>
      </c>
      <c r="AY142" s="679"/>
      <c r="AZ142" s="679" t="s">
        <v>622</v>
      </c>
      <c r="BA142" s="844">
        <f ca="1">(AW142%*B12)+(AW143%*B13)+(AW144%*B14)+(AW145%*B15)+BA141</f>
        <v>379.84212000000002</v>
      </c>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row>
    <row r="143" spans="10:97">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686" t="s">
        <v>376</v>
      </c>
      <c r="AW143" s="5">
        <v>0.15</v>
      </c>
      <c r="AX143" s="712">
        <v>0.11799999999999999</v>
      </c>
      <c r="AY143" s="679"/>
      <c r="AZ143" s="679" t="s">
        <v>624</v>
      </c>
      <c r="BA143" s="67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row>
    <row r="144" spans="10:97">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686" t="s">
        <v>377</v>
      </c>
      <c r="AW144" s="5">
        <v>0.17</v>
      </c>
      <c r="AX144" s="712">
        <v>0.13800000000000001</v>
      </c>
      <c r="AY144" s="679"/>
      <c r="AZ144" s="845" t="s">
        <v>623</v>
      </c>
      <c r="BA144" s="845">
        <f ca="1">B32%*B3</f>
        <v>64.400000000000006</v>
      </c>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row>
    <row r="145" spans="10:97">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686" t="s">
        <v>378</v>
      </c>
      <c r="AW145" s="5">
        <v>0.2</v>
      </c>
      <c r="AX145" s="712">
        <v>0.16600000000000001</v>
      </c>
      <c r="AY145" s="49"/>
      <c r="AZ145" s="845" t="s">
        <v>622</v>
      </c>
      <c r="BA145" s="846">
        <f ca="1">AX142%*B12+AX143%*B13+AX144%*B14+AX145%*B15+BA144</f>
        <v>308.73687600000005</v>
      </c>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row>
    <row r="146" spans="10:97">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row>
    <row r="147" spans="10:97">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686" t="s">
        <v>453</v>
      </c>
      <c r="AW147" s="5" t="s">
        <v>603</v>
      </c>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row>
    <row r="148" spans="10:97">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819">
        <v>0</v>
      </c>
      <c r="AW148" s="819">
        <v>5</v>
      </c>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row>
    <row r="149" spans="10:97">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819">
        <v>20</v>
      </c>
      <c r="AW149" s="819">
        <v>7.5</v>
      </c>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row>
    <row r="150" spans="10:97">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819">
        <v>25</v>
      </c>
      <c r="AW150" s="819">
        <v>10</v>
      </c>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row>
    <row r="151" spans="10:97">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819">
        <v>35</v>
      </c>
      <c r="AW151" s="819">
        <v>12.5</v>
      </c>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row>
    <row r="152" spans="10:97">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819">
        <v>45</v>
      </c>
      <c r="AW152" s="819">
        <v>15</v>
      </c>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row>
    <row r="153" spans="10:97">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821">
        <v>50</v>
      </c>
      <c r="AW153" s="821">
        <v>15</v>
      </c>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row>
    <row r="154" spans="10:97">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row>
    <row r="155" spans="10:97">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row>
    <row r="156" spans="10:97">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row>
    <row r="157" spans="10:97">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row>
    <row r="158" spans="10:97">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row>
    <row r="159" spans="10:97">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row>
    <row r="160" spans="10:97">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row>
    <row r="161" spans="10:97">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row>
    <row r="162" spans="10:97">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row>
    <row r="163" spans="10:97">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row>
    <row r="164" spans="10:97">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row>
    <row r="165" spans="10:97">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row>
    <row r="166" spans="10:97" ht="12.95" customHeight="1">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610"/>
      <c r="BS166" s="986" t="s">
        <v>49</v>
      </c>
      <c r="BT166" s="986"/>
      <c r="BU166" s="986"/>
      <c r="BV166" s="986" t="s">
        <v>37</v>
      </c>
      <c r="BW166" s="986"/>
      <c r="BX166" s="986"/>
      <c r="BY166" s="49"/>
      <c r="BZ166" s="49"/>
      <c r="CA166" s="49"/>
      <c r="CB166" s="49"/>
      <c r="CC166" s="49"/>
      <c r="CD166" s="49"/>
      <c r="CE166" s="49"/>
      <c r="CF166" s="49"/>
      <c r="CG166" s="49"/>
      <c r="CH166" s="49"/>
      <c r="CI166" s="49"/>
      <c r="CJ166" s="49"/>
      <c r="CK166" s="49"/>
      <c r="CL166" s="49"/>
      <c r="CM166" s="49"/>
      <c r="CN166" s="49"/>
      <c r="CO166" s="49"/>
      <c r="CP166" s="49"/>
      <c r="CQ166" s="49"/>
      <c r="CR166" s="49"/>
      <c r="CS166" s="49"/>
    </row>
    <row r="167" spans="10:97">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610" t="s">
        <v>54</v>
      </c>
      <c r="BS167" s="986"/>
      <c r="BT167" s="986"/>
      <c r="BU167" s="986"/>
      <c r="BV167" s="986"/>
      <c r="BW167" s="986"/>
      <c r="BX167" s="986"/>
      <c r="BY167" s="49"/>
      <c r="BZ167" s="49"/>
      <c r="CA167" s="49"/>
      <c r="CB167" s="49"/>
      <c r="CC167" s="49"/>
      <c r="CD167" s="49"/>
      <c r="CE167" s="49"/>
      <c r="CF167" s="49"/>
      <c r="CG167" s="49"/>
      <c r="CH167" s="49"/>
      <c r="CI167" s="49"/>
      <c r="CJ167" s="49"/>
      <c r="CK167" s="49"/>
      <c r="CL167" s="49"/>
      <c r="CM167" s="49"/>
      <c r="CN167" s="49"/>
      <c r="CO167" s="49"/>
      <c r="CP167" s="49"/>
      <c r="CQ167" s="49"/>
      <c r="CR167" s="49"/>
      <c r="CS167" s="49"/>
    </row>
    <row r="168" spans="10:97">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610" t="s">
        <v>55</v>
      </c>
      <c r="BS168" s="986"/>
      <c r="BT168" s="986"/>
      <c r="BU168" s="986"/>
      <c r="BV168" s="986"/>
      <c r="BW168" s="986"/>
      <c r="BX168" s="986"/>
      <c r="BY168" s="49"/>
      <c r="BZ168" s="49"/>
      <c r="CA168" s="49"/>
      <c r="CB168" s="49"/>
      <c r="CC168" s="49"/>
      <c r="CD168" s="49"/>
      <c r="CE168" s="49"/>
      <c r="CF168" s="49"/>
      <c r="CG168" s="49"/>
      <c r="CH168" s="49"/>
      <c r="CI168" s="49"/>
      <c r="CJ168" s="49"/>
      <c r="CK168" s="49"/>
      <c r="CL168" s="49"/>
      <c r="CM168" s="49"/>
      <c r="CN168" s="49"/>
      <c r="CO168" s="49"/>
      <c r="CP168" s="49"/>
      <c r="CQ168" s="49"/>
      <c r="CR168" s="49"/>
      <c r="CS168" s="49"/>
    </row>
    <row r="169" spans="10:97" ht="15" customHeight="1">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610" t="s">
        <v>56</v>
      </c>
      <c r="BS169" s="980" t="s">
        <v>57</v>
      </c>
      <c r="BT169" s="980"/>
      <c r="BU169" s="980"/>
      <c r="BV169" s="980"/>
      <c r="BW169" s="980"/>
      <c r="BX169" s="980"/>
      <c r="BY169" s="49"/>
      <c r="BZ169" s="49"/>
      <c r="CA169" s="49"/>
      <c r="CB169" s="49"/>
      <c r="CC169" s="49"/>
      <c r="CD169" s="49"/>
      <c r="CE169" s="49"/>
      <c r="CF169" s="49"/>
      <c r="CG169" s="49"/>
      <c r="CH169" s="49"/>
      <c r="CI169" s="49"/>
      <c r="CJ169" s="49"/>
      <c r="CK169" s="49"/>
      <c r="CL169" s="49"/>
      <c r="CM169" s="49"/>
      <c r="CN169" s="49"/>
      <c r="CO169" s="49"/>
      <c r="CP169" s="49"/>
      <c r="CQ169" s="49"/>
      <c r="CR169" s="49"/>
      <c r="CS169" s="49"/>
    </row>
    <row r="170" spans="10:97" ht="15" customHeight="1">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610" t="s">
        <v>58</v>
      </c>
      <c r="BS170" s="980" t="s">
        <v>59</v>
      </c>
      <c r="BT170" s="980"/>
      <c r="BU170" s="980"/>
      <c r="BV170" s="980" t="s">
        <v>59</v>
      </c>
      <c r="BW170" s="980"/>
      <c r="BX170" s="980"/>
      <c r="BY170" s="49"/>
      <c r="BZ170" s="49"/>
      <c r="CA170" s="49"/>
      <c r="CB170" s="49"/>
      <c r="CC170" s="49"/>
      <c r="CD170" s="49"/>
      <c r="CE170" s="49"/>
      <c r="CF170" s="49"/>
      <c r="CG170" s="49"/>
      <c r="CH170" s="49"/>
      <c r="CI170" s="49"/>
      <c r="CJ170" s="49"/>
      <c r="CK170" s="49"/>
      <c r="CL170" s="49"/>
      <c r="CM170" s="49"/>
      <c r="CN170" s="49"/>
      <c r="CO170" s="49"/>
      <c r="CP170" s="49"/>
      <c r="CQ170" s="49"/>
      <c r="CR170" s="49"/>
      <c r="CS170" s="49"/>
    </row>
    <row r="171" spans="10:97" ht="15.75" customHeight="1">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611"/>
      <c r="BS171" s="981"/>
      <c r="BT171" s="981"/>
      <c r="BU171" s="981"/>
      <c r="BV171" s="982"/>
      <c r="BW171" s="982"/>
      <c r="BX171" s="982"/>
      <c r="BY171" s="49"/>
      <c r="BZ171" s="49"/>
      <c r="CA171" s="49"/>
      <c r="CB171" s="49"/>
      <c r="CC171" s="49"/>
      <c r="CD171" s="49"/>
      <c r="CE171" s="49"/>
      <c r="CF171" s="49"/>
      <c r="CG171" s="49"/>
      <c r="CH171" s="49"/>
      <c r="CI171" s="49"/>
      <c r="CJ171" s="49"/>
      <c r="CK171" s="49"/>
      <c r="CL171" s="49"/>
      <c r="CM171" s="49"/>
      <c r="CN171" s="49"/>
      <c r="CO171" s="49"/>
      <c r="CP171" s="49"/>
      <c r="CQ171" s="49"/>
      <c r="CR171" s="49"/>
      <c r="CS171" s="49"/>
    </row>
    <row r="172" spans="10:97" ht="12.95" customHeight="1">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611"/>
      <c r="BS172" s="612" t="s">
        <v>60</v>
      </c>
      <c r="BT172" s="983" t="s">
        <v>61</v>
      </c>
      <c r="BU172" s="983" t="s">
        <v>62</v>
      </c>
      <c r="BV172" s="612" t="s">
        <v>60</v>
      </c>
      <c r="BW172" s="983" t="s">
        <v>61</v>
      </c>
      <c r="BX172" s="983" t="s">
        <v>62</v>
      </c>
      <c r="BY172" s="49"/>
      <c r="BZ172" s="49"/>
      <c r="CA172" s="49"/>
      <c r="CB172" s="49"/>
      <c r="CC172" s="49"/>
      <c r="CD172" s="49"/>
      <c r="CE172" s="49"/>
      <c r="CF172" s="49"/>
      <c r="CG172" s="49"/>
      <c r="CH172" s="49"/>
      <c r="CI172" s="49"/>
      <c r="CJ172" s="49"/>
      <c r="CK172" s="49"/>
      <c r="CL172" s="49"/>
      <c r="CM172" s="49"/>
      <c r="CN172" s="49"/>
      <c r="CO172" s="49"/>
      <c r="CP172" s="49"/>
      <c r="CQ172" s="49"/>
      <c r="CR172" s="49"/>
      <c r="CS172" s="49"/>
    </row>
    <row r="173" spans="10:97">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611"/>
      <c r="BS173" s="612" t="s">
        <v>63</v>
      </c>
      <c r="BT173" s="983"/>
      <c r="BU173" s="983"/>
      <c r="BV173" s="612" t="s">
        <v>63</v>
      </c>
      <c r="BW173" s="983"/>
      <c r="BX173" s="983"/>
      <c r="BY173" s="49"/>
      <c r="BZ173" s="49"/>
      <c r="CA173" s="49"/>
      <c r="CB173" s="49"/>
      <c r="CC173" s="49"/>
      <c r="CD173" s="49"/>
      <c r="CE173" s="49"/>
      <c r="CF173" s="49"/>
      <c r="CG173" s="49"/>
      <c r="CH173" s="49"/>
      <c r="CI173" s="49"/>
      <c r="CJ173" s="49"/>
      <c r="CK173" s="49"/>
      <c r="CL173" s="49"/>
      <c r="CM173" s="49"/>
      <c r="CN173" s="49"/>
      <c r="CO173" s="49"/>
      <c r="CP173" s="49"/>
      <c r="CQ173" s="49"/>
      <c r="CR173" s="49"/>
      <c r="CS173" s="49"/>
    </row>
    <row r="174" spans="10:97" ht="22.5">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335" t="s">
        <v>64</v>
      </c>
      <c r="BS174" s="610" t="s">
        <v>65</v>
      </c>
      <c r="BT174" s="610" t="s">
        <v>66</v>
      </c>
      <c r="BU174" s="610" t="s">
        <v>67</v>
      </c>
      <c r="BV174" s="610" t="s">
        <v>68</v>
      </c>
      <c r="BW174" s="610" t="s">
        <v>69</v>
      </c>
      <c r="BX174" s="610" t="s">
        <v>70</v>
      </c>
      <c r="BY174" s="49"/>
      <c r="BZ174" s="49"/>
      <c r="CA174" s="49"/>
      <c r="CB174" s="49"/>
      <c r="CC174" s="49"/>
      <c r="CD174" s="49"/>
      <c r="CE174" s="49"/>
      <c r="CF174" s="49"/>
      <c r="CG174" s="49"/>
      <c r="CH174" s="49"/>
      <c r="CI174" s="49"/>
      <c r="CJ174" s="49"/>
      <c r="CK174" s="49"/>
      <c r="CL174" s="49"/>
      <c r="CM174" s="49"/>
      <c r="CN174" s="49"/>
      <c r="CO174" s="49"/>
      <c r="CP174" s="49"/>
      <c r="CQ174" s="49"/>
      <c r="CR174" s="49"/>
      <c r="CS174" s="49"/>
    </row>
    <row r="175" spans="10:97">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336" t="s">
        <v>71</v>
      </c>
      <c r="BS175" s="610"/>
      <c r="BT175" s="610"/>
      <c r="BU175" s="610"/>
      <c r="BV175" s="610"/>
      <c r="BW175" s="610"/>
      <c r="BX175" s="610"/>
      <c r="BY175" s="49"/>
      <c r="BZ175" s="49"/>
      <c r="CA175" s="49"/>
      <c r="CB175" s="49"/>
      <c r="CC175" s="49"/>
      <c r="CD175" s="49"/>
      <c r="CE175" s="49"/>
      <c r="CF175" s="49"/>
      <c r="CG175" s="49"/>
      <c r="CH175" s="49"/>
      <c r="CI175" s="49"/>
      <c r="CJ175" s="49"/>
      <c r="CK175" s="49"/>
      <c r="CL175" s="49"/>
      <c r="CM175" s="49"/>
      <c r="CN175" s="49"/>
      <c r="CO175" s="49"/>
      <c r="CP175" s="49"/>
      <c r="CQ175" s="49"/>
      <c r="CR175" s="49"/>
      <c r="CS175" s="49"/>
    </row>
    <row r="176" spans="10:97" ht="45">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335" t="s">
        <v>72</v>
      </c>
      <c r="BS176" s="610" t="s">
        <v>66</v>
      </c>
      <c r="BT176" s="610" t="s">
        <v>73</v>
      </c>
      <c r="BU176" s="610" t="s">
        <v>74</v>
      </c>
      <c r="BV176" s="610" t="s">
        <v>69</v>
      </c>
      <c r="BW176" s="610" t="s">
        <v>75</v>
      </c>
      <c r="BX176" s="610" t="s">
        <v>76</v>
      </c>
      <c r="BY176" s="49"/>
      <c r="BZ176" s="49"/>
      <c r="CA176" s="49"/>
      <c r="CB176" s="49"/>
      <c r="CC176" s="49"/>
      <c r="CD176" s="49"/>
      <c r="CE176" s="49"/>
      <c r="CF176" s="49"/>
      <c r="CG176" s="49"/>
      <c r="CH176" s="49"/>
      <c r="CI176" s="49"/>
      <c r="CJ176" s="49"/>
      <c r="CK176" s="49"/>
      <c r="CL176" s="49"/>
      <c r="CM176" s="49"/>
      <c r="CN176" s="49"/>
      <c r="CO176" s="49"/>
      <c r="CP176" s="49"/>
      <c r="CQ176" s="49"/>
      <c r="CR176" s="49"/>
      <c r="CS176" s="49"/>
    </row>
    <row r="177" spans="10:97" ht="22.5">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335" t="s">
        <v>77</v>
      </c>
      <c r="BS177" s="610" t="s">
        <v>78</v>
      </c>
      <c r="BT177" s="610" t="s">
        <v>79</v>
      </c>
      <c r="BU177" s="610" t="s">
        <v>80</v>
      </c>
      <c r="BV177" s="610" t="s">
        <v>81</v>
      </c>
      <c r="BW177" s="610" t="s">
        <v>82</v>
      </c>
      <c r="BX177" s="610" t="s">
        <v>83</v>
      </c>
      <c r="BY177" s="49"/>
      <c r="BZ177" s="49"/>
      <c r="CA177" s="49"/>
      <c r="CB177" s="49"/>
      <c r="CC177" s="49"/>
      <c r="CD177" s="49"/>
      <c r="CE177" s="49"/>
      <c r="CF177" s="49"/>
      <c r="CG177" s="49"/>
      <c r="CH177" s="49"/>
      <c r="CI177" s="49"/>
      <c r="CJ177" s="49"/>
      <c r="CK177" s="49"/>
      <c r="CL177" s="49"/>
      <c r="CM177" s="49"/>
      <c r="CN177" s="49"/>
      <c r="CO177" s="49"/>
      <c r="CP177" s="49"/>
      <c r="CQ177" s="49"/>
      <c r="CR177" s="49"/>
      <c r="CS177" s="49"/>
    </row>
    <row r="178" spans="10:97">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row>
    <row r="179" spans="10:97">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row>
    <row r="180" spans="10:97">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row>
    <row r="181" spans="10:97">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row>
    <row r="182" spans="10:97">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row>
    <row r="183" spans="10:97">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row>
    <row r="184" spans="10:97">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row>
    <row r="185" spans="10:97">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row>
    <row r="186" spans="10:97">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row>
    <row r="187" spans="10:97">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row>
    <row r="188" spans="10:97">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row>
    <row r="189" spans="10:97">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row>
    <row r="190" spans="10:97">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row>
    <row r="191" spans="10:97">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row>
    <row r="192" spans="10:97">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row>
    <row r="193" spans="10:97">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row>
    <row r="194" spans="10:97">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row>
    <row r="195" spans="10:97">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49"/>
      <c r="CN195" s="49"/>
      <c r="CO195" s="49"/>
      <c r="CP195" s="49"/>
      <c r="CQ195" s="49"/>
      <c r="CR195" s="49"/>
      <c r="CS195" s="49"/>
    </row>
    <row r="196" spans="10:97">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row>
    <row r="197" spans="10:97">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row>
    <row r="198" spans="10:97">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row>
    <row r="199" spans="10:97">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c r="CR199" s="49"/>
      <c r="CS199" s="49"/>
    </row>
    <row r="200" spans="10:97">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49"/>
      <c r="CK200" s="49"/>
      <c r="CL200" s="49"/>
      <c r="CM200" s="49"/>
      <c r="CN200" s="49"/>
      <c r="CO200" s="49"/>
      <c r="CP200" s="49"/>
      <c r="CQ200" s="49"/>
      <c r="CR200" s="49"/>
      <c r="CS200" s="49"/>
    </row>
    <row r="201" spans="10:97">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row>
    <row r="202" spans="10:97">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row>
    <row r="203" spans="10:97">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49"/>
      <c r="CN203" s="49"/>
      <c r="CO203" s="49"/>
      <c r="CP203" s="49"/>
      <c r="CQ203" s="49"/>
      <c r="CR203" s="49"/>
      <c r="CS203" s="49"/>
    </row>
    <row r="204" spans="10:97">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c r="CR204" s="49"/>
      <c r="CS204" s="49"/>
    </row>
    <row r="205" spans="10:97">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row>
    <row r="206" spans="10:97">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row>
    <row r="207" spans="10:97">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row>
    <row r="208" spans="10:97">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49"/>
      <c r="CN208" s="49"/>
      <c r="CO208" s="49"/>
      <c r="CP208" s="49"/>
      <c r="CQ208" s="49"/>
      <c r="CR208" s="49"/>
      <c r="CS208" s="49"/>
    </row>
    <row r="209" spans="10:97">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49"/>
      <c r="CN209" s="49"/>
      <c r="CO209" s="49"/>
      <c r="CP209" s="49"/>
      <c r="CQ209" s="49"/>
      <c r="CR209" s="49"/>
      <c r="CS209" s="49"/>
    </row>
    <row r="210" spans="10:97">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49"/>
      <c r="CN210" s="49"/>
      <c r="CO210" s="49"/>
      <c r="CP210" s="49"/>
      <c r="CQ210" s="49"/>
      <c r="CR210" s="49"/>
      <c r="CS210" s="49"/>
    </row>
    <row r="211" spans="10:97">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49"/>
      <c r="CK211" s="49"/>
      <c r="CL211" s="49"/>
      <c r="CM211" s="49"/>
      <c r="CN211" s="49"/>
      <c r="CO211" s="49"/>
      <c r="CP211" s="49"/>
      <c r="CQ211" s="49"/>
      <c r="CR211" s="49"/>
      <c r="CS211" s="49"/>
    </row>
    <row r="212" spans="10:97">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49"/>
      <c r="CK212" s="49"/>
      <c r="CL212" s="49"/>
      <c r="CM212" s="49"/>
      <c r="CN212" s="49"/>
      <c r="CO212" s="49"/>
      <c r="CP212" s="49"/>
      <c r="CQ212" s="49"/>
      <c r="CR212" s="49"/>
      <c r="CS212" s="49"/>
    </row>
    <row r="213" spans="10:97">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49"/>
      <c r="CN213" s="49"/>
      <c r="CO213" s="49"/>
      <c r="CP213" s="49"/>
      <c r="CQ213" s="49"/>
      <c r="CR213" s="49"/>
      <c r="CS213" s="49"/>
    </row>
    <row r="214" spans="10:97">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row>
    <row r="215" spans="10:97">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row>
    <row r="216" spans="10:97">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c r="CR216" s="49"/>
      <c r="CS216" s="49"/>
    </row>
    <row r="217" spans="10:97">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c r="CR217" s="49"/>
      <c r="CS217" s="49"/>
    </row>
    <row r="218" spans="10:97">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row>
    <row r="219" spans="10:97">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row>
    <row r="220" spans="10:97">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row>
    <row r="221" spans="10:97">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c r="CR221" s="49"/>
      <c r="CS221" s="49"/>
    </row>
    <row r="222" spans="10:97">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c r="CR222" s="49"/>
      <c r="CS222" s="49"/>
    </row>
    <row r="223" spans="10:97">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row>
    <row r="224" spans="10:97">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row>
    <row r="225" spans="10:97">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c r="CR225" s="49"/>
      <c r="CS225" s="49"/>
    </row>
    <row r="226" spans="10:97">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49"/>
      <c r="CN226" s="49"/>
      <c r="CO226" s="49"/>
      <c r="CP226" s="49"/>
      <c r="CQ226" s="49"/>
      <c r="CR226" s="49"/>
      <c r="CS226" s="49"/>
    </row>
    <row r="227" spans="10:97">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row>
    <row r="228" spans="10:97">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row>
    <row r="229" spans="10:97">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49"/>
      <c r="CN229" s="49"/>
      <c r="CO229" s="49"/>
      <c r="CP229" s="49"/>
      <c r="CQ229" s="49"/>
      <c r="CR229" s="49"/>
      <c r="CS229" s="49"/>
    </row>
    <row r="230" spans="10:97">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row>
    <row r="231" spans="10:97">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49"/>
      <c r="CN231" s="49"/>
      <c r="CO231" s="49"/>
      <c r="CP231" s="49"/>
      <c r="CQ231" s="49"/>
      <c r="CR231" s="49"/>
      <c r="CS231" s="49"/>
    </row>
    <row r="232" spans="10:97">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49"/>
      <c r="CK232" s="49"/>
      <c r="CL232" s="49"/>
      <c r="CM232" s="49"/>
      <c r="CN232" s="49"/>
      <c r="CO232" s="49"/>
      <c r="CP232" s="49"/>
      <c r="CQ232" s="49"/>
      <c r="CR232" s="49"/>
      <c r="CS232" s="49"/>
    </row>
    <row r="233" spans="10:97">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c r="CR233" s="49"/>
      <c r="CS233" s="49"/>
    </row>
    <row r="234" spans="10:97">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row>
    <row r="235" spans="10:97">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row>
    <row r="236" spans="10:97">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c r="CR236" s="49"/>
      <c r="CS236" s="49"/>
    </row>
    <row r="237" spans="10:97">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c r="CR237" s="49"/>
      <c r="CS237" s="49"/>
    </row>
    <row r="238" spans="10:97">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c r="CR238" s="49"/>
      <c r="CS238" s="49"/>
    </row>
    <row r="239" spans="10:97">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row>
    <row r="240" spans="10:97">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row>
    <row r="241" spans="10:97">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49"/>
      <c r="CN241" s="49"/>
      <c r="CO241" s="49"/>
      <c r="CP241" s="49"/>
      <c r="CQ241" s="49"/>
      <c r="CR241" s="49"/>
      <c r="CS241" s="49"/>
    </row>
    <row r="242" spans="10:97">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row>
    <row r="243" spans="10:97">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row>
    <row r="244" spans="10:97">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row>
    <row r="245" spans="10:97">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c r="CR245" s="49"/>
      <c r="CS245" s="49"/>
    </row>
    <row r="246" spans="10:97">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c r="CR246" s="49"/>
      <c r="CS246" s="49"/>
    </row>
    <row r="247" spans="10:97">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c r="CR247" s="49"/>
      <c r="CS247" s="49"/>
    </row>
    <row r="248" spans="10:97">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49"/>
      <c r="CN248" s="49"/>
      <c r="CO248" s="49"/>
      <c r="CP248" s="49"/>
      <c r="CQ248" s="49"/>
      <c r="CR248" s="49"/>
      <c r="CS248" s="49"/>
    </row>
    <row r="249" spans="10:97">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c r="CR249" s="49"/>
      <c r="CS249" s="49"/>
    </row>
    <row r="250" spans="10:97">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c r="CL250" s="49"/>
      <c r="CM250" s="49"/>
      <c r="CN250" s="49"/>
      <c r="CO250" s="49"/>
      <c r="CP250" s="49"/>
      <c r="CQ250" s="49"/>
      <c r="CR250" s="49"/>
      <c r="CS250" s="49"/>
    </row>
    <row r="251" spans="10:97">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49"/>
      <c r="CN251" s="49"/>
      <c r="CO251" s="49"/>
      <c r="CP251" s="49"/>
      <c r="CQ251" s="49"/>
      <c r="CR251" s="49"/>
      <c r="CS251" s="49"/>
    </row>
    <row r="252" spans="10:97">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49"/>
      <c r="CN252" s="49"/>
      <c r="CO252" s="49"/>
      <c r="CP252" s="49"/>
      <c r="CQ252" s="49"/>
      <c r="CR252" s="49"/>
      <c r="CS252" s="49"/>
    </row>
    <row r="253" spans="10:97">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c r="CP253" s="49"/>
      <c r="CQ253" s="49"/>
      <c r="CR253" s="49"/>
      <c r="CS253" s="49"/>
    </row>
    <row r="254" spans="10:97">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49"/>
      <c r="CN254" s="49"/>
      <c r="CO254" s="49"/>
      <c r="CP254" s="49"/>
      <c r="CQ254" s="49"/>
      <c r="CR254" s="49"/>
      <c r="CS254" s="49"/>
    </row>
    <row r="255" spans="10:97">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c r="CR255" s="49"/>
      <c r="CS255" s="49"/>
    </row>
    <row r="256" spans="10:97">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row>
    <row r="257" spans="10:97">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row>
    <row r="258" spans="10:97">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row>
    <row r="259" spans="10:97">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row>
    <row r="260" spans="10:97">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row>
    <row r="261" spans="10:97">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c r="CR261" s="49"/>
      <c r="CS261" s="49"/>
    </row>
    <row r="262" spans="10:97">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c r="CR262" s="49"/>
      <c r="CS262" s="49"/>
    </row>
    <row r="263" spans="10:97">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c r="CR263" s="49"/>
      <c r="CS263" s="49"/>
    </row>
    <row r="264" spans="10:97">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c r="CR264" s="49"/>
      <c r="CS264" s="49"/>
    </row>
    <row r="265" spans="10:97">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49"/>
      <c r="CN265" s="49"/>
      <c r="CO265" s="49"/>
      <c r="CP265" s="49"/>
      <c r="CQ265" s="49"/>
      <c r="CR265" s="49"/>
      <c r="CS265" s="49"/>
    </row>
    <row r="266" spans="10:97">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49"/>
      <c r="CK266" s="49"/>
      <c r="CL266" s="49"/>
      <c r="CM266" s="49"/>
      <c r="CN266" s="49"/>
      <c r="CO266" s="49"/>
      <c r="CP266" s="49"/>
      <c r="CQ266" s="49"/>
      <c r="CR266" s="49"/>
      <c r="CS266" s="49"/>
    </row>
    <row r="267" spans="10:97">
      <c r="J267" s="337"/>
      <c r="K267" s="337"/>
      <c r="L267" s="337"/>
      <c r="M267" s="337"/>
      <c r="N267" s="337"/>
      <c r="O267" s="337"/>
      <c r="P267" s="337"/>
      <c r="Q267" s="337"/>
      <c r="R267" s="337"/>
      <c r="S267" s="337"/>
      <c r="T267" s="337"/>
      <c r="U267" s="337"/>
      <c r="V267" s="337"/>
      <c r="W267" s="337"/>
      <c r="X267" s="337"/>
      <c r="Y267" s="337"/>
      <c r="Z267" s="337"/>
      <c r="AA267" s="337"/>
      <c r="AB267" s="337"/>
      <c r="AC267" s="337"/>
      <c r="AD267" s="337"/>
      <c r="AE267" s="337"/>
      <c r="AF267" s="337"/>
      <c r="AG267" s="337"/>
      <c r="AH267" s="337"/>
      <c r="AI267" s="337"/>
      <c r="AJ267" s="337"/>
      <c r="AK267" s="337"/>
      <c r="AL267" s="337"/>
      <c r="AM267" s="337"/>
      <c r="AN267" s="337"/>
      <c r="AO267" s="337"/>
      <c r="AP267" s="337"/>
      <c r="AQ267" s="337"/>
      <c r="AR267" s="337"/>
      <c r="AS267" s="337"/>
      <c r="AT267" s="337"/>
      <c r="AU267" s="337"/>
      <c r="AV267" s="337"/>
      <c r="AW267" s="337"/>
      <c r="AX267" s="337"/>
      <c r="AY267" s="337"/>
      <c r="AZ267" s="337"/>
      <c r="BA267" s="337"/>
      <c r="BB267" s="337"/>
      <c r="BC267" s="337"/>
      <c r="BD267" s="337"/>
      <c r="BE267" s="337"/>
      <c r="BF267" s="337"/>
      <c r="BG267" s="337"/>
      <c r="BH267" s="337"/>
      <c r="BI267" s="337"/>
      <c r="BJ267" s="337"/>
      <c r="BK267" s="337"/>
      <c r="BL267" s="337"/>
      <c r="BM267" s="337"/>
      <c r="BN267" s="337"/>
    </row>
    <row r="268" spans="10:97">
      <c r="J268" s="337"/>
      <c r="K268" s="337"/>
      <c r="L268" s="337"/>
      <c r="M268" s="337"/>
      <c r="N268" s="337"/>
      <c r="O268" s="337"/>
      <c r="P268" s="337"/>
      <c r="Q268" s="337"/>
      <c r="R268" s="337"/>
      <c r="S268" s="337"/>
      <c r="T268" s="337"/>
      <c r="U268" s="337"/>
      <c r="V268" s="337"/>
      <c r="W268" s="337"/>
      <c r="X268" s="337"/>
      <c r="Y268" s="337"/>
      <c r="Z268" s="337"/>
      <c r="AA268" s="337"/>
      <c r="AB268" s="337"/>
      <c r="AC268" s="337"/>
      <c r="AD268" s="337"/>
      <c r="AE268" s="337"/>
      <c r="AF268" s="337"/>
      <c r="AG268" s="337"/>
      <c r="AH268" s="337"/>
      <c r="AI268" s="337"/>
      <c r="AJ268" s="337"/>
      <c r="AK268" s="337"/>
      <c r="AL268" s="337"/>
      <c r="AM268" s="337"/>
      <c r="AN268" s="337"/>
      <c r="AO268" s="337"/>
      <c r="AP268" s="337"/>
      <c r="AQ268" s="337"/>
      <c r="AR268" s="337"/>
      <c r="AS268" s="337"/>
      <c r="AT268" s="337"/>
      <c r="AU268" s="337"/>
      <c r="AV268" s="337"/>
      <c r="AW268" s="337"/>
      <c r="AX268" s="337"/>
      <c r="AY268" s="337"/>
      <c r="AZ268" s="337"/>
      <c r="BA268" s="337"/>
      <c r="BB268" s="337"/>
      <c r="BC268" s="337"/>
      <c r="BD268" s="337"/>
      <c r="BE268" s="337"/>
      <c r="BF268" s="337"/>
      <c r="BG268" s="337"/>
      <c r="BH268" s="337"/>
      <c r="BI268" s="337"/>
      <c r="BJ268" s="337"/>
      <c r="BK268" s="337"/>
      <c r="BL268" s="337"/>
      <c r="BM268" s="337"/>
      <c r="BN268" s="337"/>
    </row>
    <row r="269" spans="10:97">
      <c r="J269" s="337"/>
      <c r="K269" s="337"/>
      <c r="L269" s="337"/>
      <c r="M269" s="337"/>
      <c r="N269" s="337"/>
      <c r="O269" s="337"/>
      <c r="P269" s="337"/>
      <c r="Q269" s="337"/>
      <c r="R269" s="337"/>
      <c r="S269" s="337"/>
      <c r="T269" s="337"/>
      <c r="U269" s="337"/>
      <c r="V269" s="337"/>
      <c r="W269" s="337"/>
      <c r="X269" s="337"/>
      <c r="Y269" s="337"/>
      <c r="Z269" s="337"/>
      <c r="AA269" s="337"/>
      <c r="AB269" s="337"/>
      <c r="AC269" s="337"/>
      <c r="AD269" s="337"/>
      <c r="AE269" s="337"/>
      <c r="AF269" s="337"/>
      <c r="AG269" s="337"/>
      <c r="AH269" s="337"/>
      <c r="AI269" s="337"/>
      <c r="AJ269" s="337"/>
      <c r="AK269" s="337"/>
      <c r="AL269" s="337"/>
      <c r="AM269" s="337"/>
      <c r="AN269" s="337"/>
      <c r="AO269" s="337"/>
      <c r="AP269" s="337"/>
      <c r="AQ269" s="337"/>
      <c r="AR269" s="337"/>
      <c r="AS269" s="337"/>
      <c r="AT269" s="337"/>
      <c r="AU269" s="337"/>
      <c r="AV269" s="337"/>
      <c r="AW269" s="337"/>
      <c r="AX269" s="337"/>
      <c r="AY269" s="337"/>
      <c r="AZ269" s="337"/>
      <c r="BA269" s="337"/>
      <c r="BB269" s="337"/>
      <c r="BC269" s="337"/>
      <c r="BD269" s="337"/>
      <c r="BE269" s="337"/>
      <c r="BF269" s="337"/>
      <c r="BG269" s="337"/>
      <c r="BH269" s="337"/>
      <c r="BI269" s="337"/>
      <c r="BJ269" s="337"/>
      <c r="BK269" s="337"/>
      <c r="BL269" s="337"/>
      <c r="BM269" s="337"/>
      <c r="BN269" s="337"/>
    </row>
    <row r="270" spans="10:97">
      <c r="J270" s="337"/>
      <c r="K270" s="337"/>
      <c r="L270" s="337"/>
      <c r="M270" s="337"/>
      <c r="N270" s="337"/>
      <c r="O270" s="337"/>
      <c r="P270" s="337"/>
      <c r="Q270" s="337"/>
      <c r="R270" s="337"/>
      <c r="S270" s="337"/>
      <c r="T270" s="337"/>
      <c r="U270" s="337"/>
      <c r="V270" s="337"/>
      <c r="W270" s="337"/>
      <c r="X270" s="337"/>
      <c r="Y270" s="337"/>
      <c r="Z270" s="337"/>
      <c r="AA270" s="337"/>
      <c r="AB270" s="337"/>
      <c r="AC270" s="337"/>
      <c r="AD270" s="337"/>
      <c r="AE270" s="337"/>
      <c r="AF270" s="337"/>
      <c r="AG270" s="337"/>
      <c r="AH270" s="337"/>
      <c r="AI270" s="337"/>
      <c r="AJ270" s="337"/>
      <c r="AK270" s="337"/>
      <c r="AL270" s="337"/>
      <c r="AM270" s="337"/>
      <c r="AN270" s="337"/>
      <c r="AO270" s="337"/>
      <c r="AP270" s="337"/>
      <c r="AQ270" s="337"/>
      <c r="AR270" s="337"/>
      <c r="AS270" s="337"/>
      <c r="AT270" s="337"/>
      <c r="AU270" s="337"/>
      <c r="AV270" s="337"/>
      <c r="AW270" s="337"/>
      <c r="AX270" s="337"/>
      <c r="AY270" s="337"/>
      <c r="AZ270" s="337"/>
      <c r="BA270" s="337"/>
      <c r="BB270" s="337"/>
      <c r="BC270" s="337"/>
      <c r="BD270" s="337"/>
      <c r="BE270" s="337"/>
      <c r="BF270" s="337"/>
      <c r="BG270" s="337"/>
      <c r="BH270" s="337"/>
      <c r="BI270" s="337"/>
      <c r="BJ270" s="337"/>
      <c r="BK270" s="337"/>
      <c r="BL270" s="337"/>
      <c r="BM270" s="337"/>
      <c r="BN270" s="337"/>
    </row>
    <row r="271" spans="10:97">
      <c r="J271" s="337"/>
      <c r="K271" s="337"/>
      <c r="L271" s="337"/>
      <c r="M271" s="337"/>
      <c r="N271" s="337"/>
      <c r="O271" s="337"/>
      <c r="P271" s="337"/>
      <c r="Q271" s="337"/>
      <c r="R271" s="337"/>
      <c r="S271" s="337"/>
      <c r="T271" s="337"/>
      <c r="U271" s="337"/>
      <c r="V271" s="337"/>
      <c r="W271" s="337"/>
      <c r="X271" s="337"/>
      <c r="Y271" s="337"/>
      <c r="Z271" s="337"/>
      <c r="AA271" s="337"/>
      <c r="AB271" s="337"/>
      <c r="AC271" s="337"/>
      <c r="AD271" s="337"/>
      <c r="AE271" s="337"/>
      <c r="AF271" s="337"/>
      <c r="AG271" s="337"/>
      <c r="AH271" s="337"/>
      <c r="AI271" s="337"/>
      <c r="AJ271" s="337"/>
      <c r="AK271" s="337"/>
      <c r="AL271" s="337"/>
      <c r="AM271" s="337"/>
      <c r="AN271" s="337"/>
      <c r="AO271" s="337"/>
      <c r="AP271" s="337"/>
      <c r="AQ271" s="337"/>
      <c r="AR271" s="337"/>
      <c r="AS271" s="337"/>
      <c r="AT271" s="337"/>
      <c r="AU271" s="337"/>
      <c r="AV271" s="337"/>
      <c r="AW271" s="337"/>
      <c r="AX271" s="337"/>
      <c r="AY271" s="337"/>
      <c r="AZ271" s="337"/>
      <c r="BA271" s="337"/>
      <c r="BB271" s="337"/>
      <c r="BC271" s="337"/>
      <c r="BD271" s="337"/>
      <c r="BE271" s="337"/>
      <c r="BF271" s="337"/>
      <c r="BG271" s="337"/>
      <c r="BH271" s="337"/>
      <c r="BI271" s="337"/>
      <c r="BJ271" s="337"/>
      <c r="BK271" s="337"/>
      <c r="BL271" s="337"/>
      <c r="BM271" s="337"/>
      <c r="BN271" s="337"/>
    </row>
    <row r="272" spans="10:97">
      <c r="J272" s="337"/>
      <c r="K272" s="337"/>
      <c r="L272" s="337"/>
      <c r="M272" s="337"/>
      <c r="N272" s="337"/>
      <c r="O272" s="337"/>
      <c r="P272" s="337"/>
      <c r="Q272" s="337"/>
      <c r="R272" s="337"/>
      <c r="S272" s="337"/>
      <c r="T272" s="337"/>
      <c r="U272" s="337"/>
      <c r="V272" s="337"/>
      <c r="W272" s="337"/>
      <c r="X272" s="337"/>
      <c r="Y272" s="337"/>
      <c r="Z272" s="337"/>
      <c r="AA272" s="337"/>
      <c r="AB272" s="337"/>
      <c r="AC272" s="337"/>
      <c r="AD272" s="337"/>
      <c r="AE272" s="337"/>
      <c r="AF272" s="337"/>
      <c r="AG272" s="337"/>
      <c r="AH272" s="337"/>
      <c r="AI272" s="337"/>
      <c r="AJ272" s="337"/>
      <c r="AK272" s="337"/>
      <c r="AL272" s="337"/>
      <c r="AM272" s="337"/>
      <c r="AN272" s="337"/>
      <c r="AO272" s="337"/>
      <c r="AP272" s="337"/>
      <c r="AQ272" s="337"/>
      <c r="AR272" s="337"/>
      <c r="AS272" s="337"/>
      <c r="AT272" s="337"/>
      <c r="AU272" s="337"/>
      <c r="AV272" s="337"/>
      <c r="AW272" s="337"/>
      <c r="AX272" s="337"/>
      <c r="AY272" s="337"/>
      <c r="AZ272" s="337"/>
      <c r="BA272" s="337"/>
      <c r="BB272" s="337"/>
      <c r="BC272" s="337"/>
      <c r="BD272" s="337"/>
      <c r="BE272" s="337"/>
      <c r="BF272" s="337"/>
      <c r="BG272" s="337"/>
      <c r="BH272" s="337"/>
      <c r="BI272" s="337"/>
      <c r="BJ272" s="337"/>
      <c r="BK272" s="337"/>
      <c r="BL272" s="337"/>
      <c r="BM272" s="337"/>
      <c r="BN272" s="337"/>
    </row>
    <row r="273" spans="10:66">
      <c r="J273" s="337"/>
      <c r="K273" s="337"/>
      <c r="L273" s="337"/>
      <c r="M273" s="337"/>
      <c r="N273" s="337"/>
      <c r="O273" s="337"/>
      <c r="P273" s="337"/>
      <c r="Q273" s="337"/>
      <c r="R273" s="337"/>
      <c r="S273" s="337"/>
      <c r="T273" s="337"/>
      <c r="U273" s="337"/>
      <c r="V273" s="337"/>
      <c r="W273" s="337"/>
      <c r="X273" s="337"/>
      <c r="Y273" s="337"/>
      <c r="Z273" s="337"/>
      <c r="AA273" s="337"/>
      <c r="AB273" s="337"/>
      <c r="AC273" s="337"/>
      <c r="AD273" s="337"/>
      <c r="AE273" s="337"/>
      <c r="AF273" s="337"/>
      <c r="AG273" s="337"/>
      <c r="AH273" s="337"/>
      <c r="AI273" s="337"/>
      <c r="AJ273" s="337"/>
      <c r="AK273" s="337"/>
      <c r="AL273" s="337"/>
      <c r="AM273" s="337"/>
      <c r="AN273" s="337"/>
      <c r="AO273" s="337"/>
      <c r="AP273" s="337"/>
      <c r="AQ273" s="337"/>
      <c r="AR273" s="337"/>
      <c r="AS273" s="337"/>
      <c r="AT273" s="337"/>
      <c r="AU273" s="337"/>
      <c r="AV273" s="337"/>
      <c r="AW273" s="337"/>
      <c r="AX273" s="337"/>
      <c r="AY273" s="337"/>
      <c r="AZ273" s="337"/>
      <c r="BA273" s="337"/>
      <c r="BB273" s="337"/>
      <c r="BC273" s="337"/>
      <c r="BD273" s="337"/>
      <c r="BE273" s="337"/>
      <c r="BF273" s="337"/>
      <c r="BG273" s="337"/>
      <c r="BH273" s="337"/>
      <c r="BI273" s="337"/>
      <c r="BJ273" s="337"/>
      <c r="BK273" s="337"/>
      <c r="BL273" s="337"/>
      <c r="BM273" s="337"/>
      <c r="BN273" s="337"/>
    </row>
    <row r="274" spans="10:66">
      <c r="J274" s="337"/>
      <c r="K274" s="337"/>
      <c r="L274" s="337"/>
      <c r="M274" s="337"/>
      <c r="N274" s="337"/>
      <c r="O274" s="337"/>
      <c r="P274" s="337"/>
      <c r="Q274" s="337"/>
      <c r="R274" s="337"/>
      <c r="S274" s="337"/>
      <c r="T274" s="337"/>
      <c r="U274" s="337"/>
      <c r="V274" s="337"/>
      <c r="W274" s="337"/>
      <c r="X274" s="337"/>
      <c r="Y274" s="337"/>
      <c r="Z274" s="337"/>
      <c r="AA274" s="337"/>
      <c r="AB274" s="337"/>
      <c r="AC274" s="337"/>
      <c r="AD274" s="337"/>
      <c r="AE274" s="337"/>
      <c r="AF274" s="337"/>
      <c r="AG274" s="337"/>
      <c r="AH274" s="337"/>
      <c r="AI274" s="337"/>
      <c r="AJ274" s="337"/>
      <c r="AK274" s="337"/>
      <c r="AL274" s="337"/>
      <c r="AM274" s="337"/>
      <c r="AN274" s="337"/>
      <c r="AO274" s="337"/>
      <c r="AP274" s="337"/>
      <c r="AQ274" s="337"/>
      <c r="AR274" s="337"/>
      <c r="AS274" s="337"/>
      <c r="AT274" s="337"/>
      <c r="AU274" s="337"/>
      <c r="AV274" s="337"/>
      <c r="AW274" s="337"/>
      <c r="AX274" s="337"/>
      <c r="AY274" s="337"/>
      <c r="AZ274" s="337"/>
      <c r="BA274" s="337"/>
      <c r="BB274" s="337"/>
      <c r="BC274" s="337"/>
      <c r="BD274" s="337"/>
      <c r="BE274" s="337"/>
      <c r="BF274" s="337"/>
      <c r="BG274" s="337"/>
      <c r="BH274" s="337"/>
      <c r="BI274" s="337"/>
      <c r="BJ274" s="337"/>
      <c r="BK274" s="337"/>
      <c r="BL274" s="337"/>
      <c r="BM274" s="337"/>
      <c r="BN274" s="337"/>
    </row>
    <row r="275" spans="10:66">
      <c r="J275" s="337"/>
      <c r="K275" s="337"/>
      <c r="L275" s="337"/>
      <c r="M275" s="337"/>
      <c r="N275" s="337"/>
      <c r="O275" s="337"/>
      <c r="P275" s="337"/>
      <c r="Q275" s="337"/>
      <c r="R275" s="337"/>
      <c r="S275" s="337"/>
      <c r="T275" s="337"/>
      <c r="U275" s="337"/>
      <c r="V275" s="337"/>
      <c r="W275" s="337"/>
      <c r="X275" s="337"/>
      <c r="Y275" s="337"/>
      <c r="Z275" s="337"/>
      <c r="AA275" s="337"/>
      <c r="AB275" s="337"/>
      <c r="AC275" s="337"/>
      <c r="AD275" s="337"/>
      <c r="AE275" s="337"/>
      <c r="AF275" s="337"/>
      <c r="AG275" s="337"/>
      <c r="AH275" s="337"/>
      <c r="AI275" s="337"/>
      <c r="AJ275" s="337"/>
      <c r="AK275" s="337"/>
      <c r="AL275" s="337"/>
      <c r="AM275" s="337"/>
      <c r="AN275" s="337"/>
      <c r="AO275" s="337"/>
      <c r="AP275" s="337"/>
      <c r="AQ275" s="337"/>
      <c r="AR275" s="337"/>
      <c r="AS275" s="337"/>
      <c r="AT275" s="337"/>
      <c r="AU275" s="337"/>
      <c r="AV275" s="337"/>
      <c r="AW275" s="337"/>
      <c r="AX275" s="337"/>
      <c r="AY275" s="337"/>
      <c r="AZ275" s="337"/>
      <c r="BA275" s="337"/>
      <c r="BB275" s="337"/>
      <c r="BC275" s="337"/>
      <c r="BD275" s="337"/>
      <c r="BE275" s="337"/>
      <c r="BF275" s="337"/>
      <c r="BG275" s="337"/>
      <c r="BH275" s="337"/>
      <c r="BI275" s="337"/>
      <c r="BJ275" s="337"/>
      <c r="BK275" s="337"/>
      <c r="BL275" s="337"/>
      <c r="BM275" s="337"/>
      <c r="BN275" s="337"/>
    </row>
    <row r="276" spans="10:66">
      <c r="J276" s="337"/>
      <c r="K276" s="337"/>
      <c r="L276" s="337"/>
      <c r="M276" s="337"/>
      <c r="N276" s="337"/>
      <c r="O276" s="337"/>
      <c r="P276" s="337"/>
      <c r="Q276" s="337"/>
      <c r="R276" s="337"/>
      <c r="S276" s="337"/>
      <c r="T276" s="337"/>
      <c r="U276" s="337"/>
      <c r="V276" s="337"/>
      <c r="W276" s="337"/>
      <c r="X276" s="337"/>
      <c r="Y276" s="337"/>
      <c r="Z276" s="337"/>
      <c r="AA276" s="337"/>
      <c r="AB276" s="337"/>
      <c r="AC276" s="337"/>
      <c r="AD276" s="337"/>
      <c r="AE276" s="337"/>
      <c r="AF276" s="337"/>
      <c r="AG276" s="337"/>
      <c r="AH276" s="337"/>
      <c r="AI276" s="337"/>
      <c r="AJ276" s="337"/>
      <c r="AK276" s="337"/>
      <c r="AL276" s="337"/>
      <c r="AM276" s="337"/>
      <c r="AN276" s="337"/>
      <c r="AO276" s="337"/>
      <c r="AP276" s="337"/>
      <c r="AQ276" s="337"/>
      <c r="AR276" s="337"/>
      <c r="AS276" s="337"/>
      <c r="AT276" s="337"/>
      <c r="AU276" s="337"/>
      <c r="AV276" s="337"/>
      <c r="AW276" s="337"/>
      <c r="AX276" s="337"/>
      <c r="AY276" s="337"/>
      <c r="AZ276" s="337"/>
      <c r="BA276" s="337"/>
      <c r="BB276" s="337"/>
      <c r="BC276" s="337"/>
      <c r="BD276" s="337"/>
      <c r="BE276" s="337"/>
      <c r="BF276" s="337"/>
      <c r="BG276" s="337"/>
      <c r="BH276" s="337"/>
      <c r="BI276" s="337"/>
      <c r="BJ276" s="337"/>
      <c r="BK276" s="337"/>
      <c r="BL276" s="337"/>
      <c r="BM276" s="337"/>
      <c r="BN276" s="337"/>
    </row>
    <row r="277" spans="10:66">
      <c r="J277" s="337"/>
      <c r="K277" s="337"/>
      <c r="L277" s="337"/>
      <c r="M277" s="337"/>
      <c r="N277" s="337"/>
      <c r="O277" s="337"/>
      <c r="P277" s="337"/>
      <c r="Q277" s="337"/>
      <c r="R277" s="337"/>
      <c r="S277" s="337"/>
      <c r="T277" s="337"/>
      <c r="U277" s="337"/>
      <c r="V277" s="337"/>
      <c r="W277" s="337"/>
      <c r="X277" s="337"/>
      <c r="Y277" s="337"/>
      <c r="Z277" s="337"/>
      <c r="AA277" s="337"/>
      <c r="AB277" s="337"/>
      <c r="AC277" s="337"/>
      <c r="AD277" s="337"/>
      <c r="AE277" s="337"/>
      <c r="AF277" s="337"/>
      <c r="AG277" s="337"/>
      <c r="AH277" s="337"/>
      <c r="AI277" s="337"/>
      <c r="AJ277" s="337"/>
      <c r="AK277" s="337"/>
      <c r="AL277" s="337"/>
      <c r="AM277" s="337"/>
      <c r="AN277" s="337"/>
      <c r="AO277" s="337"/>
      <c r="AP277" s="337"/>
      <c r="AQ277" s="337"/>
      <c r="AR277" s="337"/>
      <c r="AS277" s="337"/>
      <c r="AT277" s="337"/>
      <c r="AU277" s="337"/>
      <c r="AV277" s="337"/>
      <c r="AW277" s="337"/>
      <c r="AX277" s="337"/>
      <c r="AY277" s="337"/>
      <c r="AZ277" s="337"/>
      <c r="BA277" s="337"/>
      <c r="BB277" s="337"/>
      <c r="BC277" s="337"/>
      <c r="BD277" s="337"/>
      <c r="BE277" s="337"/>
      <c r="BF277" s="337"/>
      <c r="BG277" s="337"/>
      <c r="BH277" s="337"/>
      <c r="BI277" s="337"/>
      <c r="BJ277" s="337"/>
      <c r="BK277" s="337"/>
      <c r="BL277" s="337"/>
      <c r="BM277" s="337"/>
      <c r="BN277" s="337"/>
    </row>
    <row r="278" spans="10:66">
      <c r="J278" s="337"/>
      <c r="K278" s="337"/>
      <c r="L278" s="337"/>
      <c r="M278" s="337"/>
      <c r="N278" s="337"/>
      <c r="O278" s="337"/>
      <c r="P278" s="337"/>
      <c r="Q278" s="337"/>
      <c r="R278" s="337"/>
      <c r="S278" s="337"/>
      <c r="T278" s="337"/>
      <c r="U278" s="337"/>
      <c r="V278" s="337"/>
      <c r="W278" s="337"/>
      <c r="X278" s="337"/>
      <c r="Y278" s="337"/>
      <c r="Z278" s="337"/>
      <c r="AA278" s="337"/>
      <c r="AB278" s="337"/>
      <c r="AC278" s="337"/>
      <c r="AD278" s="337"/>
      <c r="AE278" s="337"/>
      <c r="AF278" s="337"/>
      <c r="AG278" s="337"/>
      <c r="AH278" s="337"/>
      <c r="AI278" s="337"/>
      <c r="AJ278" s="337"/>
      <c r="AK278" s="337"/>
      <c r="AL278" s="337"/>
      <c r="AM278" s="337"/>
      <c r="AN278" s="337"/>
      <c r="AO278" s="337"/>
      <c r="AP278" s="337"/>
      <c r="AQ278" s="337"/>
      <c r="AR278" s="337"/>
      <c r="AS278" s="337"/>
      <c r="AT278" s="337"/>
      <c r="AU278" s="337"/>
      <c r="AV278" s="337"/>
      <c r="AW278" s="337"/>
      <c r="AX278" s="337"/>
      <c r="AY278" s="337"/>
      <c r="AZ278" s="337"/>
      <c r="BA278" s="337"/>
      <c r="BB278" s="337"/>
      <c r="BC278" s="337"/>
      <c r="BD278" s="337"/>
      <c r="BE278" s="337"/>
      <c r="BF278" s="337"/>
      <c r="BG278" s="337"/>
      <c r="BH278" s="337"/>
      <c r="BI278" s="337"/>
      <c r="BJ278" s="337"/>
      <c r="BK278" s="337"/>
      <c r="BL278" s="337"/>
      <c r="BM278" s="337"/>
      <c r="BN278" s="337"/>
    </row>
    <row r="279" spans="10:66">
      <c r="J279" s="337"/>
      <c r="K279" s="337"/>
      <c r="L279" s="337"/>
      <c r="M279" s="337"/>
      <c r="N279" s="337"/>
      <c r="O279" s="337"/>
      <c r="P279" s="337"/>
      <c r="Q279" s="337"/>
      <c r="R279" s="337"/>
      <c r="S279" s="337"/>
      <c r="T279" s="337"/>
      <c r="U279" s="337"/>
      <c r="V279" s="337"/>
      <c r="W279" s="337"/>
      <c r="X279" s="337"/>
      <c r="Y279" s="337"/>
      <c r="Z279" s="337"/>
      <c r="AA279" s="337"/>
      <c r="AB279" s="337"/>
      <c r="AC279" s="337"/>
      <c r="AD279" s="337"/>
      <c r="AE279" s="337"/>
      <c r="AF279" s="337"/>
      <c r="AG279" s="337"/>
      <c r="AH279" s="337"/>
      <c r="AI279" s="337"/>
      <c r="AJ279" s="337"/>
      <c r="AK279" s="337"/>
      <c r="AL279" s="337"/>
      <c r="AM279" s="337"/>
      <c r="AN279" s="337"/>
      <c r="AO279" s="337"/>
      <c r="AP279" s="337"/>
      <c r="AQ279" s="337"/>
      <c r="AR279" s="337"/>
      <c r="AS279" s="337"/>
      <c r="AT279" s="337"/>
      <c r="AU279" s="337"/>
      <c r="AV279" s="337"/>
      <c r="AW279" s="337"/>
      <c r="AX279" s="337"/>
      <c r="AY279" s="337"/>
      <c r="AZ279" s="337"/>
      <c r="BA279" s="337"/>
      <c r="BB279" s="337"/>
      <c r="BC279" s="337"/>
      <c r="BD279" s="337"/>
      <c r="BE279" s="337"/>
      <c r="BF279" s="337"/>
      <c r="BG279" s="337"/>
      <c r="BH279" s="337"/>
      <c r="BI279" s="337"/>
      <c r="BJ279" s="337"/>
      <c r="BK279" s="337"/>
      <c r="BL279" s="337"/>
      <c r="BM279" s="337"/>
      <c r="BN279" s="337"/>
    </row>
    <row r="280" spans="10:66">
      <c r="J280" s="337"/>
      <c r="K280" s="337"/>
      <c r="L280" s="337"/>
      <c r="M280" s="337"/>
      <c r="N280" s="337"/>
      <c r="O280" s="337"/>
      <c r="P280" s="337"/>
      <c r="Q280" s="337"/>
      <c r="R280" s="337"/>
      <c r="S280" s="337"/>
      <c r="T280" s="337"/>
      <c r="U280" s="337"/>
      <c r="V280" s="337"/>
      <c r="W280" s="337"/>
      <c r="X280" s="337"/>
      <c r="Y280" s="337"/>
      <c r="Z280" s="337"/>
      <c r="AA280" s="337"/>
      <c r="AB280" s="337"/>
      <c r="AC280" s="337"/>
      <c r="AD280" s="337"/>
      <c r="AE280" s="337"/>
      <c r="AF280" s="337"/>
      <c r="AG280" s="337"/>
      <c r="AH280" s="337"/>
      <c r="AI280" s="337"/>
      <c r="AJ280" s="337"/>
      <c r="AK280" s="337"/>
      <c r="AL280" s="337"/>
      <c r="AM280" s="337"/>
      <c r="AN280" s="337"/>
      <c r="AO280" s="337"/>
      <c r="AP280" s="337"/>
      <c r="AQ280" s="337"/>
      <c r="AR280" s="337"/>
      <c r="AS280" s="337"/>
      <c r="AT280" s="337"/>
      <c r="AU280" s="337"/>
      <c r="AV280" s="337"/>
      <c r="AW280" s="337"/>
      <c r="AX280" s="337"/>
      <c r="AY280" s="337"/>
      <c r="AZ280" s="337"/>
      <c r="BA280" s="337"/>
      <c r="BB280" s="337"/>
      <c r="BC280" s="337"/>
      <c r="BD280" s="337"/>
      <c r="BE280" s="337"/>
      <c r="BF280" s="337"/>
      <c r="BG280" s="337"/>
      <c r="BH280" s="337"/>
      <c r="BI280" s="337"/>
      <c r="BJ280" s="337"/>
      <c r="BK280" s="337"/>
      <c r="BL280" s="337"/>
      <c r="BM280" s="337"/>
      <c r="BN280" s="337"/>
    </row>
    <row r="281" spans="10:66">
      <c r="J281" s="337"/>
      <c r="K281" s="337"/>
      <c r="L281" s="337"/>
      <c r="M281" s="337"/>
      <c r="N281" s="337"/>
      <c r="O281" s="337"/>
      <c r="P281" s="337"/>
      <c r="Q281" s="337"/>
      <c r="R281" s="337"/>
      <c r="S281" s="337"/>
      <c r="T281" s="337"/>
      <c r="U281" s="337"/>
      <c r="V281" s="337"/>
      <c r="W281" s="337"/>
      <c r="X281" s="337"/>
      <c r="Y281" s="337"/>
      <c r="Z281" s="337"/>
      <c r="AA281" s="337"/>
      <c r="AB281" s="337"/>
      <c r="AC281" s="337"/>
      <c r="AD281" s="337"/>
      <c r="AE281" s="337"/>
      <c r="AF281" s="337"/>
      <c r="AG281" s="337"/>
      <c r="AH281" s="337"/>
      <c r="AI281" s="337"/>
      <c r="AJ281" s="337"/>
      <c r="AK281" s="337"/>
      <c r="AL281" s="337"/>
      <c r="AM281" s="337"/>
      <c r="AN281" s="337"/>
      <c r="AO281" s="337"/>
      <c r="AP281" s="337"/>
      <c r="AQ281" s="337"/>
      <c r="AR281" s="337"/>
      <c r="AS281" s="337"/>
      <c r="AT281" s="337"/>
      <c r="AU281" s="337"/>
      <c r="AV281" s="337"/>
      <c r="AW281" s="337"/>
      <c r="AX281" s="337"/>
      <c r="AY281" s="337"/>
      <c r="AZ281" s="337"/>
      <c r="BA281" s="337"/>
      <c r="BB281" s="337"/>
      <c r="BC281" s="337"/>
      <c r="BD281" s="337"/>
      <c r="BE281" s="337"/>
      <c r="BF281" s="337"/>
      <c r="BG281" s="337"/>
      <c r="BH281" s="337"/>
      <c r="BI281" s="337"/>
      <c r="BJ281" s="337"/>
      <c r="BK281" s="337"/>
      <c r="BL281" s="337"/>
      <c r="BM281" s="337"/>
      <c r="BN281" s="337"/>
    </row>
    <row r="282" spans="10:66">
      <c r="J282" s="337"/>
      <c r="K282" s="337"/>
      <c r="L282" s="337"/>
      <c r="M282" s="337"/>
      <c r="N282" s="337"/>
      <c r="O282" s="337"/>
      <c r="P282" s="337"/>
      <c r="Q282" s="337"/>
      <c r="R282" s="337"/>
      <c r="S282" s="337"/>
      <c r="T282" s="337"/>
      <c r="U282" s="337"/>
      <c r="V282" s="337"/>
      <c r="W282" s="337"/>
      <c r="X282" s="337"/>
      <c r="Y282" s="337"/>
      <c r="Z282" s="337"/>
      <c r="AA282" s="337"/>
      <c r="AB282" s="337"/>
      <c r="AC282" s="337"/>
      <c r="AD282" s="337"/>
      <c r="AE282" s="337"/>
      <c r="AF282" s="337"/>
      <c r="AG282" s="337"/>
      <c r="AH282" s="337"/>
      <c r="AI282" s="337"/>
      <c r="AJ282" s="337"/>
      <c r="AK282" s="337"/>
      <c r="AL282" s="337"/>
      <c r="AM282" s="337"/>
      <c r="AN282" s="337"/>
      <c r="AO282" s="337"/>
      <c r="AP282" s="337"/>
      <c r="AQ282" s="337"/>
      <c r="AR282" s="337"/>
      <c r="AS282" s="337"/>
      <c r="AT282" s="337"/>
      <c r="AU282" s="337"/>
      <c r="AV282" s="337"/>
      <c r="AW282" s="337"/>
      <c r="AX282" s="337"/>
      <c r="AY282" s="337"/>
      <c r="AZ282" s="337"/>
      <c r="BA282" s="337"/>
      <c r="BB282" s="337"/>
      <c r="BC282" s="337"/>
      <c r="BD282" s="337"/>
      <c r="BE282" s="337"/>
      <c r="BF282" s="337"/>
      <c r="BG282" s="337"/>
      <c r="BH282" s="337"/>
      <c r="BI282" s="337"/>
      <c r="BJ282" s="337"/>
      <c r="BK282" s="337"/>
      <c r="BL282" s="337"/>
      <c r="BM282" s="337"/>
      <c r="BN282" s="337"/>
    </row>
    <row r="283" spans="10:66">
      <c r="J283" s="337"/>
      <c r="K283" s="337"/>
      <c r="L283" s="337"/>
      <c r="M283" s="337"/>
      <c r="N283" s="337"/>
      <c r="O283" s="337"/>
      <c r="P283" s="337"/>
      <c r="Q283" s="337"/>
      <c r="R283" s="337"/>
      <c r="S283" s="337"/>
      <c r="T283" s="337"/>
      <c r="U283" s="337"/>
      <c r="V283" s="337"/>
      <c r="W283" s="337"/>
      <c r="X283" s="337"/>
      <c r="Y283" s="337"/>
      <c r="Z283" s="337"/>
      <c r="AA283" s="337"/>
      <c r="AB283" s="337"/>
      <c r="AC283" s="337"/>
      <c r="AD283" s="337"/>
      <c r="AE283" s="337"/>
      <c r="AF283" s="337"/>
      <c r="AG283" s="337"/>
      <c r="AH283" s="337"/>
      <c r="AI283" s="337"/>
      <c r="AJ283" s="337"/>
      <c r="AK283" s="337"/>
      <c r="AL283" s="337"/>
      <c r="AM283" s="337"/>
      <c r="AN283" s="337"/>
      <c r="AO283" s="337"/>
      <c r="AP283" s="337"/>
      <c r="AQ283" s="337"/>
      <c r="AR283" s="337"/>
      <c r="AS283" s="337"/>
      <c r="AT283" s="337"/>
      <c r="AU283" s="337"/>
      <c r="AV283" s="337"/>
      <c r="AW283" s="337"/>
      <c r="AX283" s="337"/>
      <c r="AY283" s="337"/>
      <c r="AZ283" s="337"/>
      <c r="BA283" s="337"/>
      <c r="BB283" s="337"/>
      <c r="BC283" s="337"/>
      <c r="BD283" s="337"/>
      <c r="BE283" s="337"/>
      <c r="BF283" s="337"/>
      <c r="BG283" s="337"/>
      <c r="BH283" s="337"/>
      <c r="BI283" s="337"/>
      <c r="BJ283" s="337"/>
      <c r="BK283" s="337"/>
      <c r="BL283" s="337"/>
      <c r="BM283" s="337"/>
      <c r="BN283" s="337"/>
    </row>
    <row r="284" spans="10:66">
      <c r="J284" s="337"/>
      <c r="K284" s="337"/>
      <c r="L284" s="337"/>
      <c r="M284" s="337"/>
      <c r="N284" s="337"/>
      <c r="O284" s="337"/>
      <c r="P284" s="337"/>
      <c r="Q284" s="337"/>
      <c r="R284" s="337"/>
      <c r="S284" s="337"/>
      <c r="T284" s="337"/>
      <c r="U284" s="337"/>
      <c r="V284" s="337"/>
      <c r="W284" s="337"/>
      <c r="X284" s="337"/>
      <c r="Y284" s="337"/>
      <c r="Z284" s="337"/>
      <c r="AA284" s="337"/>
      <c r="AB284" s="337"/>
      <c r="AC284" s="337"/>
      <c r="AD284" s="337"/>
      <c r="AE284" s="337"/>
      <c r="AF284" s="337"/>
      <c r="AG284" s="337"/>
      <c r="AH284" s="337"/>
      <c r="AI284" s="337"/>
      <c r="AJ284" s="337"/>
      <c r="AK284" s="337"/>
      <c r="AL284" s="337"/>
      <c r="AM284" s="337"/>
      <c r="AN284" s="337"/>
      <c r="AO284" s="337"/>
      <c r="AP284" s="337"/>
      <c r="AQ284" s="337"/>
      <c r="AR284" s="337"/>
      <c r="AS284" s="337"/>
      <c r="AT284" s="337"/>
      <c r="AU284" s="337"/>
      <c r="AV284" s="337"/>
      <c r="AW284" s="337"/>
      <c r="AX284" s="337"/>
      <c r="AY284" s="337"/>
      <c r="AZ284" s="337"/>
      <c r="BA284" s="337"/>
      <c r="BB284" s="337"/>
      <c r="BC284" s="337"/>
      <c r="BD284" s="337"/>
      <c r="BE284" s="337"/>
      <c r="BF284" s="337"/>
      <c r="BG284" s="337"/>
      <c r="BH284" s="337"/>
      <c r="BI284" s="337"/>
      <c r="BJ284" s="337"/>
      <c r="BK284" s="337"/>
      <c r="BL284" s="337"/>
      <c r="BM284" s="337"/>
      <c r="BN284" s="337"/>
    </row>
    <row r="285" spans="10:66">
      <c r="J285" s="337"/>
      <c r="K285" s="337"/>
      <c r="L285" s="337"/>
      <c r="M285" s="337"/>
      <c r="N285" s="337"/>
      <c r="O285" s="337"/>
      <c r="P285" s="337"/>
      <c r="Q285" s="337"/>
      <c r="R285" s="337"/>
      <c r="S285" s="337"/>
      <c r="T285" s="337"/>
      <c r="U285" s="337"/>
      <c r="V285" s="337"/>
      <c r="W285" s="337"/>
      <c r="X285" s="337"/>
      <c r="Y285" s="337"/>
      <c r="Z285" s="337"/>
      <c r="AA285" s="337"/>
      <c r="AB285" s="337"/>
      <c r="AC285" s="337"/>
      <c r="AD285" s="337"/>
      <c r="AE285" s="337"/>
      <c r="AF285" s="337"/>
      <c r="AG285" s="337"/>
      <c r="AH285" s="337"/>
      <c r="AI285" s="337"/>
      <c r="AJ285" s="337"/>
      <c r="AK285" s="337"/>
      <c r="AL285" s="337"/>
      <c r="AM285" s="337"/>
      <c r="AN285" s="337"/>
      <c r="AO285" s="337"/>
      <c r="AP285" s="337"/>
      <c r="AQ285" s="337"/>
      <c r="AR285" s="337"/>
      <c r="AS285" s="337"/>
      <c r="AT285" s="337"/>
      <c r="AU285" s="337"/>
      <c r="AV285" s="337"/>
      <c r="AW285" s="337"/>
      <c r="AX285" s="337"/>
      <c r="AY285" s="337"/>
      <c r="AZ285" s="337"/>
      <c r="BA285" s="337"/>
      <c r="BB285" s="337"/>
      <c r="BC285" s="337"/>
      <c r="BD285" s="337"/>
      <c r="BE285" s="337"/>
      <c r="BF285" s="337"/>
      <c r="BG285" s="337"/>
      <c r="BH285" s="337"/>
      <c r="BI285" s="337"/>
      <c r="BJ285" s="337"/>
      <c r="BK285" s="337"/>
      <c r="BL285" s="337"/>
      <c r="BM285" s="337"/>
      <c r="BN285" s="337"/>
    </row>
    <row r="286" spans="10:66">
      <c r="J286" s="337"/>
      <c r="K286" s="337"/>
      <c r="L286" s="337"/>
      <c r="M286" s="337"/>
      <c r="N286" s="337"/>
      <c r="O286" s="337"/>
      <c r="P286" s="337"/>
      <c r="Q286" s="337"/>
      <c r="R286" s="337"/>
      <c r="S286" s="337"/>
      <c r="T286" s="337"/>
      <c r="U286" s="337"/>
      <c r="V286" s="337"/>
      <c r="W286" s="337"/>
      <c r="X286" s="337"/>
      <c r="Y286" s="337"/>
      <c r="Z286" s="337"/>
      <c r="AA286" s="337"/>
      <c r="AB286" s="337"/>
      <c r="AC286" s="337"/>
      <c r="AD286" s="337"/>
      <c r="AE286" s="337"/>
      <c r="AF286" s="337"/>
      <c r="AG286" s="337"/>
      <c r="AH286" s="337"/>
      <c r="AI286" s="337"/>
      <c r="AJ286" s="337"/>
      <c r="AK286" s="337"/>
      <c r="AL286" s="337"/>
      <c r="AM286" s="337"/>
      <c r="AN286" s="337"/>
      <c r="AO286" s="337"/>
      <c r="AP286" s="337"/>
      <c r="AQ286" s="337"/>
      <c r="AR286" s="337"/>
      <c r="AS286" s="337"/>
      <c r="AT286" s="337"/>
      <c r="AU286" s="337"/>
      <c r="AV286" s="337"/>
      <c r="AW286" s="337"/>
      <c r="AX286" s="337"/>
      <c r="AY286" s="337"/>
      <c r="AZ286" s="337"/>
      <c r="BA286" s="337"/>
      <c r="BB286" s="337"/>
      <c r="BC286" s="337"/>
      <c r="BD286" s="337"/>
      <c r="BE286" s="337"/>
      <c r="BF286" s="337"/>
      <c r="BG286" s="337"/>
      <c r="BH286" s="337"/>
      <c r="BI286" s="337"/>
      <c r="BJ286" s="337"/>
      <c r="BK286" s="337"/>
      <c r="BL286" s="337"/>
      <c r="BM286" s="337"/>
      <c r="BN286" s="337"/>
    </row>
    <row r="287" spans="10:66">
      <c r="J287" s="337"/>
      <c r="K287" s="337"/>
      <c r="L287" s="337"/>
      <c r="M287" s="337"/>
      <c r="N287" s="337"/>
      <c r="O287" s="337"/>
      <c r="P287" s="337"/>
      <c r="Q287" s="337"/>
      <c r="R287" s="337"/>
      <c r="S287" s="337"/>
      <c r="T287" s="337"/>
      <c r="U287" s="337"/>
      <c r="V287" s="337"/>
      <c r="W287" s="337"/>
      <c r="X287" s="337"/>
      <c r="Y287" s="337"/>
      <c r="Z287" s="337"/>
      <c r="AA287" s="337"/>
      <c r="AB287" s="337"/>
      <c r="AC287" s="337"/>
      <c r="AD287" s="337"/>
      <c r="AE287" s="337"/>
      <c r="AF287" s="337"/>
      <c r="AG287" s="337"/>
      <c r="AH287" s="337"/>
      <c r="AI287" s="337"/>
      <c r="AJ287" s="337"/>
      <c r="AK287" s="337"/>
      <c r="AL287" s="337"/>
      <c r="AM287" s="337"/>
      <c r="AN287" s="337"/>
      <c r="AO287" s="337"/>
      <c r="AP287" s="337"/>
      <c r="AQ287" s="337"/>
      <c r="AR287" s="337"/>
      <c r="AS287" s="337"/>
      <c r="AT287" s="337"/>
      <c r="AU287" s="337"/>
      <c r="AV287" s="337"/>
      <c r="AW287" s="337"/>
      <c r="AX287" s="337"/>
      <c r="AY287" s="337"/>
      <c r="AZ287" s="337"/>
      <c r="BA287" s="337"/>
      <c r="BB287" s="337"/>
      <c r="BC287" s="337"/>
      <c r="BD287" s="337"/>
      <c r="BE287" s="337"/>
      <c r="BF287" s="337"/>
      <c r="BG287" s="337"/>
      <c r="BH287" s="337"/>
      <c r="BI287" s="337"/>
      <c r="BJ287" s="337"/>
      <c r="BK287" s="337"/>
      <c r="BL287" s="337"/>
      <c r="BM287" s="337"/>
      <c r="BN287" s="337"/>
    </row>
    <row r="288" spans="10:66">
      <c r="J288" s="337"/>
      <c r="K288" s="337"/>
      <c r="L288" s="337"/>
      <c r="M288" s="337"/>
      <c r="N288" s="337"/>
      <c r="O288" s="337"/>
      <c r="P288" s="337"/>
      <c r="Q288" s="337"/>
      <c r="R288" s="337"/>
      <c r="S288" s="337"/>
      <c r="T288" s="337"/>
      <c r="U288" s="337"/>
      <c r="V288" s="337"/>
      <c r="W288" s="337"/>
      <c r="X288" s="337"/>
      <c r="Y288" s="337"/>
      <c r="Z288" s="337"/>
      <c r="AA288" s="337"/>
      <c r="AB288" s="337"/>
      <c r="AC288" s="337"/>
      <c r="AD288" s="337"/>
      <c r="AE288" s="337"/>
      <c r="AF288" s="337"/>
      <c r="AG288" s="337"/>
      <c r="AH288" s="337"/>
      <c r="AI288" s="337"/>
      <c r="AJ288" s="337"/>
      <c r="AK288" s="337"/>
      <c r="AL288" s="337"/>
      <c r="AM288" s="337"/>
      <c r="AN288" s="337"/>
      <c r="AO288" s="337"/>
      <c r="AP288" s="337"/>
      <c r="AQ288" s="337"/>
      <c r="AR288" s="337"/>
      <c r="AS288" s="337"/>
      <c r="AT288" s="337"/>
      <c r="AU288" s="337"/>
      <c r="AV288" s="337"/>
      <c r="AW288" s="337"/>
      <c r="AX288" s="337"/>
      <c r="AY288" s="337"/>
      <c r="AZ288" s="337"/>
      <c r="BA288" s="337"/>
      <c r="BB288" s="337"/>
      <c r="BC288" s="337"/>
      <c r="BD288" s="337"/>
      <c r="BE288" s="337"/>
      <c r="BF288" s="337"/>
      <c r="BG288" s="337"/>
      <c r="BH288" s="337"/>
      <c r="BI288" s="337"/>
      <c r="BJ288" s="337"/>
      <c r="BK288" s="337"/>
      <c r="BL288" s="337"/>
      <c r="BM288" s="337"/>
      <c r="BN288" s="337"/>
    </row>
    <row r="289" spans="10:66">
      <c r="J289" s="337"/>
      <c r="K289" s="337"/>
      <c r="L289" s="337"/>
      <c r="M289" s="337"/>
      <c r="N289" s="337"/>
      <c r="O289" s="337"/>
      <c r="P289" s="337"/>
      <c r="Q289" s="337"/>
      <c r="R289" s="337"/>
      <c r="S289" s="337"/>
      <c r="T289" s="337"/>
      <c r="U289" s="337"/>
      <c r="V289" s="337"/>
      <c r="W289" s="337"/>
      <c r="X289" s="337"/>
      <c r="Y289" s="337"/>
      <c r="Z289" s="337"/>
      <c r="AA289" s="337"/>
      <c r="AB289" s="337"/>
      <c r="AC289" s="337"/>
      <c r="AD289" s="337"/>
      <c r="AE289" s="337"/>
      <c r="AF289" s="337"/>
      <c r="AG289" s="337"/>
      <c r="AH289" s="337"/>
      <c r="AI289" s="337"/>
      <c r="AJ289" s="337"/>
      <c r="AK289" s="337"/>
      <c r="AL289" s="337"/>
      <c r="AM289" s="337"/>
      <c r="AN289" s="337"/>
      <c r="AO289" s="337"/>
      <c r="AP289" s="337"/>
      <c r="AQ289" s="337"/>
      <c r="AR289" s="337"/>
      <c r="AS289" s="337"/>
      <c r="AT289" s="337"/>
      <c r="AU289" s="337"/>
      <c r="AV289" s="337"/>
      <c r="AW289" s="337"/>
      <c r="AX289" s="337"/>
      <c r="AY289" s="337"/>
      <c r="AZ289" s="337"/>
      <c r="BA289" s="337"/>
      <c r="BB289" s="337"/>
      <c r="BC289" s="337"/>
      <c r="BD289" s="337"/>
      <c r="BE289" s="337"/>
      <c r="BF289" s="337"/>
      <c r="BG289" s="337"/>
      <c r="BH289" s="337"/>
      <c r="BI289" s="337"/>
      <c r="BJ289" s="337"/>
      <c r="BK289" s="337"/>
      <c r="BL289" s="337"/>
      <c r="BM289" s="337"/>
      <c r="BN289" s="337"/>
    </row>
  </sheetData>
  <sheetProtection password="F7EB" sheet="1" objects="1" scenarios="1"/>
  <mergeCells count="36">
    <mergeCell ref="D24:E24"/>
    <mergeCell ref="D25:E25"/>
    <mergeCell ref="D26:E26"/>
    <mergeCell ref="D27:E27"/>
    <mergeCell ref="C22:E22"/>
    <mergeCell ref="D23:E23"/>
    <mergeCell ref="BS170:BU170"/>
    <mergeCell ref="BV170:BX170"/>
    <mergeCell ref="BS171:BU171"/>
    <mergeCell ref="BV171:BX171"/>
    <mergeCell ref="BT172:BT173"/>
    <mergeCell ref="BU172:BU173"/>
    <mergeCell ref="BW172:BW173"/>
    <mergeCell ref="BX172:BX173"/>
    <mergeCell ref="AV127:AW127"/>
    <mergeCell ref="BS166:BU168"/>
    <mergeCell ref="BV166:BX168"/>
    <mergeCell ref="BS169:BU169"/>
    <mergeCell ref="BV169:BX169"/>
    <mergeCell ref="AV140:AW140"/>
    <mergeCell ref="E30:F30"/>
    <mergeCell ref="BG101:BJ101"/>
    <mergeCell ref="AV102:AW102"/>
    <mergeCell ref="AY102:AZ102"/>
    <mergeCell ref="BG107:BJ107"/>
    <mergeCell ref="H6:I6"/>
    <mergeCell ref="A9:D9"/>
    <mergeCell ref="E9:F9"/>
    <mergeCell ref="H3:I3"/>
    <mergeCell ref="H13:H14"/>
    <mergeCell ref="I13:I14"/>
    <mergeCell ref="A1:F1"/>
    <mergeCell ref="H1:I1"/>
    <mergeCell ref="H4:I4"/>
    <mergeCell ref="H5:I5"/>
    <mergeCell ref="B2:C2"/>
  </mergeCells>
  <conditionalFormatting sqref="A12:B15 A17:B20">
    <cfRule type="expression" dxfId="11" priority="5">
      <formula>$B$6="LT Pack Bundled"</formula>
    </cfRule>
    <cfRule type="expression" dxfId="10" priority="6">
      <formula>$B$6="LT Enh Bundled"</formula>
    </cfRule>
  </conditionalFormatting>
  <conditionalFormatting sqref="C12:D19">
    <cfRule type="expression" dxfId="9" priority="4">
      <formula>$B$6="LT Enh Bundled"</formula>
    </cfRule>
  </conditionalFormatting>
  <conditionalFormatting sqref="C10:D20">
    <cfRule type="expression" dxfId="8" priority="1">
      <formula>$B$6="LT Pack Bundled"</formula>
    </cfRule>
    <cfRule type="expression" dxfId="7" priority="2">
      <formula>$B$6="LT Pack"</formula>
    </cfRule>
  </conditionalFormatting>
  <dataValidations count="9">
    <dataValidation type="list" operator="equal" allowBlank="1" showErrorMessage="1" sqref="F4">
      <formula1>"FPD, One Year, Not Required"</formula1>
    </dataValidation>
    <dataValidation type="list" operator="equal" allowBlank="1" showErrorMessage="1" sqref="B4 WVJ983045 WLN983045 WBR983045 VRV983045 VHZ983045 UYD983045 UOH983045 UEL983045 TUP983045 TKT983045 TAX983045 SRB983045 SHF983045 RXJ983045 RNN983045 RDR983045 QTV983045 QJZ983045 QAD983045 PQH983045 PGL983045 OWP983045 OMT983045 OCX983045 NTB983045 NJF983045 MZJ983045 MPN983045 MFR983045 LVV983045 LLZ983045 LCD983045 KSH983045 KIL983045 JYP983045 JOT983045 JEX983045 IVB983045 ILF983045 IBJ983045 HRN983045 HHR983045 GXV983045 GNZ983045 GED983045 FUH983045 FKL983045 FAP983045 EQT983045 EGX983045 DXB983045 DNF983045 DDJ983045 CTN983045 CJR983045 BZV983045 BPZ983045 BGD983045 AWH983045 AML983045 ACP983045 ST983045 IX983045 B983045 WVJ917509 WLN917509 WBR917509 VRV917509 VHZ917509 UYD917509 UOH917509 UEL917509 TUP917509 TKT917509 TAX917509 SRB917509 SHF917509 RXJ917509 RNN917509 RDR917509 QTV917509 QJZ917509 QAD917509 PQH917509 PGL917509 OWP917509 OMT917509 OCX917509 NTB917509 NJF917509 MZJ917509 MPN917509 MFR917509 LVV917509 LLZ917509 LCD917509 KSH917509 KIL917509 JYP917509 JOT917509 JEX917509 IVB917509 ILF917509 IBJ917509 HRN917509 HHR917509 GXV917509 GNZ917509 GED917509 FUH917509 FKL917509 FAP917509 EQT917509 EGX917509 DXB917509 DNF917509 DDJ917509 CTN917509 CJR917509 BZV917509 BPZ917509 BGD917509 AWH917509 AML917509 ACP917509 ST917509 IX917509 B917509 WVJ851973 WLN851973 WBR851973 VRV851973 VHZ851973 UYD851973 UOH851973 UEL851973 TUP851973 TKT851973 TAX851973 SRB851973 SHF851973 RXJ851973 RNN851973 RDR851973 QTV851973 QJZ851973 QAD851973 PQH851973 PGL851973 OWP851973 OMT851973 OCX851973 NTB851973 NJF851973 MZJ851973 MPN851973 MFR851973 LVV851973 LLZ851973 LCD851973 KSH851973 KIL851973 JYP851973 JOT851973 JEX851973 IVB851973 ILF851973 IBJ851973 HRN851973 HHR851973 GXV851973 GNZ851973 GED851973 FUH851973 FKL851973 FAP851973 EQT851973 EGX851973 DXB851973 DNF851973 DDJ851973 CTN851973 CJR851973 BZV851973 BPZ851973 BGD851973 AWH851973 AML851973 ACP851973 ST851973 IX851973 B851973 WVJ786437 WLN786437 WBR786437 VRV786437 VHZ786437 UYD786437 UOH786437 UEL786437 TUP786437 TKT786437 TAX786437 SRB786437 SHF786437 RXJ786437 RNN786437 RDR786437 QTV786437 QJZ786437 QAD786437 PQH786437 PGL786437 OWP786437 OMT786437 OCX786437 NTB786437 NJF786437 MZJ786437 MPN786437 MFR786437 LVV786437 LLZ786437 LCD786437 KSH786437 KIL786437 JYP786437 JOT786437 JEX786437 IVB786437 ILF786437 IBJ786437 HRN786437 HHR786437 GXV786437 GNZ786437 GED786437 FUH786437 FKL786437 FAP786437 EQT786437 EGX786437 DXB786437 DNF786437 DDJ786437 CTN786437 CJR786437 BZV786437 BPZ786437 BGD786437 AWH786437 AML786437 ACP786437 ST786437 IX786437 B786437 WVJ720901 WLN720901 WBR720901 VRV720901 VHZ720901 UYD720901 UOH720901 UEL720901 TUP720901 TKT720901 TAX720901 SRB720901 SHF720901 RXJ720901 RNN720901 RDR720901 QTV720901 QJZ720901 QAD720901 PQH720901 PGL720901 OWP720901 OMT720901 OCX720901 NTB720901 NJF720901 MZJ720901 MPN720901 MFR720901 LVV720901 LLZ720901 LCD720901 KSH720901 KIL720901 JYP720901 JOT720901 JEX720901 IVB720901 ILF720901 IBJ720901 HRN720901 HHR720901 GXV720901 GNZ720901 GED720901 FUH720901 FKL720901 FAP720901 EQT720901 EGX720901 DXB720901 DNF720901 DDJ720901 CTN720901 CJR720901 BZV720901 BPZ720901 BGD720901 AWH720901 AML720901 ACP720901 ST720901 IX720901 B720901 WVJ655365 WLN655365 WBR655365 VRV655365 VHZ655365 UYD655365 UOH655365 UEL655365 TUP655365 TKT655365 TAX655365 SRB655365 SHF655365 RXJ655365 RNN655365 RDR655365 QTV655365 QJZ655365 QAD655365 PQH655365 PGL655365 OWP655365 OMT655365 OCX655365 NTB655365 NJF655365 MZJ655365 MPN655365 MFR655365 LVV655365 LLZ655365 LCD655365 KSH655365 KIL655365 JYP655365 JOT655365 JEX655365 IVB655365 ILF655365 IBJ655365 HRN655365 HHR655365 GXV655365 GNZ655365 GED655365 FUH655365 FKL655365 FAP655365 EQT655365 EGX655365 DXB655365 DNF655365 DDJ655365 CTN655365 CJR655365 BZV655365 BPZ655365 BGD655365 AWH655365 AML655365 ACP655365 ST655365 IX655365 B655365 WVJ589829 WLN589829 WBR589829 VRV589829 VHZ589829 UYD589829 UOH589829 UEL589829 TUP589829 TKT589829 TAX589829 SRB589829 SHF589829 RXJ589829 RNN589829 RDR589829 QTV589829 QJZ589829 QAD589829 PQH589829 PGL589829 OWP589829 OMT589829 OCX589829 NTB589829 NJF589829 MZJ589829 MPN589829 MFR589829 LVV589829 LLZ589829 LCD589829 KSH589829 KIL589829 JYP589829 JOT589829 JEX589829 IVB589829 ILF589829 IBJ589829 HRN589829 HHR589829 GXV589829 GNZ589829 GED589829 FUH589829 FKL589829 FAP589829 EQT589829 EGX589829 DXB589829 DNF589829 DDJ589829 CTN589829 CJR589829 BZV589829 BPZ589829 BGD589829 AWH589829 AML589829 ACP589829 ST589829 IX589829 B589829 WVJ524293 WLN524293 WBR524293 VRV524293 VHZ524293 UYD524293 UOH524293 UEL524293 TUP524293 TKT524293 TAX524293 SRB524293 SHF524293 RXJ524293 RNN524293 RDR524293 QTV524293 QJZ524293 QAD524293 PQH524293 PGL524293 OWP524293 OMT524293 OCX524293 NTB524293 NJF524293 MZJ524293 MPN524293 MFR524293 LVV524293 LLZ524293 LCD524293 KSH524293 KIL524293 JYP524293 JOT524293 JEX524293 IVB524293 ILF524293 IBJ524293 HRN524293 HHR524293 GXV524293 GNZ524293 GED524293 FUH524293 FKL524293 FAP524293 EQT524293 EGX524293 DXB524293 DNF524293 DDJ524293 CTN524293 CJR524293 BZV524293 BPZ524293 BGD524293 AWH524293 AML524293 ACP524293 ST524293 IX524293 B524293 WVJ458757 WLN458757 WBR458757 VRV458757 VHZ458757 UYD458757 UOH458757 UEL458757 TUP458757 TKT458757 TAX458757 SRB458757 SHF458757 RXJ458757 RNN458757 RDR458757 QTV458757 QJZ458757 QAD458757 PQH458757 PGL458757 OWP458757 OMT458757 OCX458757 NTB458757 NJF458757 MZJ458757 MPN458757 MFR458757 LVV458757 LLZ458757 LCD458757 KSH458757 KIL458757 JYP458757 JOT458757 JEX458757 IVB458757 ILF458757 IBJ458757 HRN458757 HHR458757 GXV458757 GNZ458757 GED458757 FUH458757 FKL458757 FAP458757 EQT458757 EGX458757 DXB458757 DNF458757 DDJ458757 CTN458757 CJR458757 BZV458757 BPZ458757 BGD458757 AWH458757 AML458757 ACP458757 ST458757 IX458757 B458757 WVJ393221 WLN393221 WBR393221 VRV393221 VHZ393221 UYD393221 UOH393221 UEL393221 TUP393221 TKT393221 TAX393221 SRB393221 SHF393221 RXJ393221 RNN393221 RDR393221 QTV393221 QJZ393221 QAD393221 PQH393221 PGL393221 OWP393221 OMT393221 OCX393221 NTB393221 NJF393221 MZJ393221 MPN393221 MFR393221 LVV393221 LLZ393221 LCD393221 KSH393221 KIL393221 JYP393221 JOT393221 JEX393221 IVB393221 ILF393221 IBJ393221 HRN393221 HHR393221 GXV393221 GNZ393221 GED393221 FUH393221 FKL393221 FAP393221 EQT393221 EGX393221 DXB393221 DNF393221 DDJ393221 CTN393221 CJR393221 BZV393221 BPZ393221 BGD393221 AWH393221 AML393221 ACP393221 ST393221 IX393221 B393221 WVJ327685 WLN327685 WBR327685 VRV327685 VHZ327685 UYD327685 UOH327685 UEL327685 TUP327685 TKT327685 TAX327685 SRB327685 SHF327685 RXJ327685 RNN327685 RDR327685 QTV327685 QJZ327685 QAD327685 PQH327685 PGL327685 OWP327685 OMT327685 OCX327685 NTB327685 NJF327685 MZJ327685 MPN327685 MFR327685 LVV327685 LLZ327685 LCD327685 KSH327685 KIL327685 JYP327685 JOT327685 JEX327685 IVB327685 ILF327685 IBJ327685 HRN327685 HHR327685 GXV327685 GNZ327685 GED327685 FUH327685 FKL327685 FAP327685 EQT327685 EGX327685 DXB327685 DNF327685 DDJ327685 CTN327685 CJR327685 BZV327685 BPZ327685 BGD327685 AWH327685 AML327685 ACP327685 ST327685 IX327685 B327685 WVJ262149 WLN262149 WBR262149 VRV262149 VHZ262149 UYD262149 UOH262149 UEL262149 TUP262149 TKT262149 TAX262149 SRB262149 SHF262149 RXJ262149 RNN262149 RDR262149 QTV262149 QJZ262149 QAD262149 PQH262149 PGL262149 OWP262149 OMT262149 OCX262149 NTB262149 NJF262149 MZJ262149 MPN262149 MFR262149 LVV262149 LLZ262149 LCD262149 KSH262149 KIL262149 JYP262149 JOT262149 JEX262149 IVB262149 ILF262149 IBJ262149 HRN262149 HHR262149 GXV262149 GNZ262149 GED262149 FUH262149 FKL262149 FAP262149 EQT262149 EGX262149 DXB262149 DNF262149 DDJ262149 CTN262149 CJR262149 BZV262149 BPZ262149 BGD262149 AWH262149 AML262149 ACP262149 ST262149 IX262149 B262149 WVJ196613 WLN196613 WBR196613 VRV196613 VHZ196613 UYD196613 UOH196613 UEL196613 TUP196613 TKT196613 TAX196613 SRB196613 SHF196613 RXJ196613 RNN196613 RDR196613 QTV196613 QJZ196613 QAD196613 PQH196613 PGL196613 OWP196613 OMT196613 OCX196613 NTB196613 NJF196613 MZJ196613 MPN196613 MFR196613 LVV196613 LLZ196613 LCD196613 KSH196613 KIL196613 JYP196613 JOT196613 JEX196613 IVB196613 ILF196613 IBJ196613 HRN196613 HHR196613 GXV196613 GNZ196613 GED196613 FUH196613 FKL196613 FAP196613 EQT196613 EGX196613 DXB196613 DNF196613 DDJ196613 CTN196613 CJR196613 BZV196613 BPZ196613 BGD196613 AWH196613 AML196613 ACP196613 ST196613 IX196613 B196613 WVJ131077 WLN131077 WBR131077 VRV131077 VHZ131077 UYD131077 UOH131077 UEL131077 TUP131077 TKT131077 TAX131077 SRB131077 SHF131077 RXJ131077 RNN131077 RDR131077 QTV131077 QJZ131077 QAD131077 PQH131077 PGL131077 OWP131077 OMT131077 OCX131077 NTB131077 NJF131077 MZJ131077 MPN131077 MFR131077 LVV131077 LLZ131077 LCD131077 KSH131077 KIL131077 JYP131077 JOT131077 JEX131077 IVB131077 ILF131077 IBJ131077 HRN131077 HHR131077 GXV131077 GNZ131077 GED131077 FUH131077 FKL131077 FAP131077 EQT131077 EGX131077 DXB131077 DNF131077 DDJ131077 CTN131077 CJR131077 BZV131077 BPZ131077 BGD131077 AWH131077 AML131077 ACP131077 ST131077 IX131077 B131077 WVJ65541 WLN65541 WBR65541 VRV65541 VHZ65541 UYD65541 UOH65541 UEL65541 TUP65541 TKT65541 TAX65541 SRB65541 SHF65541 RXJ65541 RNN65541 RDR65541 QTV65541 QJZ65541 QAD65541 PQH65541 PGL65541 OWP65541 OMT65541 OCX65541 NTB65541 NJF65541 MZJ65541 MPN65541 MFR65541 LVV65541 LLZ65541 LCD65541 KSH65541 KIL65541 JYP65541 JOT65541 JEX65541 IVB65541 ILF65541 IBJ65541 HRN65541 HHR65541 GXV65541 GNZ65541 GED65541 FUH65541 FKL65541 FAP65541 EQT65541 EGX65541 DXB65541 DNF65541 DDJ65541 CTN65541 CJR65541 BZV65541 BPZ65541 BGD65541 AWH65541 AML65541 ACP65541 ST65541 IX65541 B65541 WVJ4 WLN4 WBR4 VRV4 VHZ4 UYD4 UOH4 UEL4 TUP4 TKT4 TAX4 SRB4 SHF4 RXJ4 RNN4 RDR4 QTV4 QJZ4 QAD4 PQH4 PGL4 OWP4 OMT4 OCX4 NTB4 NJF4 MZJ4 MPN4 MFR4 LVV4 LLZ4 LCD4 KSH4 KIL4 JYP4 JOT4 JEX4 IVB4 ILF4 IBJ4 HRN4 HHR4 GXV4 GNZ4 GED4 FUH4 FKL4 FAP4 EQT4 EGX4 DXB4 DNF4 DDJ4 CTN4 CJR4 BZV4 BPZ4 BGD4 AWH4 AML4 ACP4 ST4 IX4">
      <formula1>"Zone A,Zone B"</formula1>
      <formula2>0</formula2>
    </dataValidation>
    <dataValidation operator="equal" allowBlank="1" showErrorMessage="1" sqref="D4 WVJ983046 WLN983046 WBR983046 VRV983046 VHZ983046 UYD983046 UOH983046 UEL983046 TUP983046 TKT983046 TAX983046 SRB983046 SHF983046 RXJ983046 RNN983046 RDR983046 QTV983046 QJZ983046 QAD983046 PQH983046 PGL983046 OWP983046 OMT983046 OCX983046 NTB983046 NJF983046 MZJ983046 MPN983046 MFR983046 LVV983046 LLZ983046 LCD983046 KSH983046 KIL983046 JYP983046 JOT983046 JEX983046 IVB983046 ILF983046 IBJ983046 HRN983046 HHR983046 GXV983046 GNZ983046 GED983046 FUH983046 FKL983046 FAP983046 EQT983046 EGX983046 DXB983046 DNF983046 DDJ983046 CTN983046 CJR983046 BZV983046 BPZ983046 BGD983046 AWH983046 AML983046 ACP983046 ST983046 IX983046 B983046 WVJ917510 WLN917510 WBR917510 VRV917510 VHZ917510 UYD917510 UOH917510 UEL917510 TUP917510 TKT917510 TAX917510 SRB917510 SHF917510 RXJ917510 RNN917510 RDR917510 QTV917510 QJZ917510 QAD917510 PQH917510 PGL917510 OWP917510 OMT917510 OCX917510 NTB917510 NJF917510 MZJ917510 MPN917510 MFR917510 LVV917510 LLZ917510 LCD917510 KSH917510 KIL917510 JYP917510 JOT917510 JEX917510 IVB917510 ILF917510 IBJ917510 HRN917510 HHR917510 GXV917510 GNZ917510 GED917510 FUH917510 FKL917510 FAP917510 EQT917510 EGX917510 DXB917510 DNF917510 DDJ917510 CTN917510 CJR917510 BZV917510 BPZ917510 BGD917510 AWH917510 AML917510 ACP917510 ST917510 IX917510 B917510 WVJ851974 WLN851974 WBR851974 VRV851974 VHZ851974 UYD851974 UOH851974 UEL851974 TUP851974 TKT851974 TAX851974 SRB851974 SHF851974 RXJ851974 RNN851974 RDR851974 QTV851974 QJZ851974 QAD851974 PQH851974 PGL851974 OWP851974 OMT851974 OCX851974 NTB851974 NJF851974 MZJ851974 MPN851974 MFR851974 LVV851974 LLZ851974 LCD851974 KSH851974 KIL851974 JYP851974 JOT851974 JEX851974 IVB851974 ILF851974 IBJ851974 HRN851974 HHR851974 GXV851974 GNZ851974 GED851974 FUH851974 FKL851974 FAP851974 EQT851974 EGX851974 DXB851974 DNF851974 DDJ851974 CTN851974 CJR851974 BZV851974 BPZ851974 BGD851974 AWH851974 AML851974 ACP851974 ST851974 IX851974 B851974 WVJ786438 WLN786438 WBR786438 VRV786438 VHZ786438 UYD786438 UOH786438 UEL786438 TUP786438 TKT786438 TAX786438 SRB786438 SHF786438 RXJ786438 RNN786438 RDR786438 QTV786438 QJZ786438 QAD786438 PQH786438 PGL786438 OWP786438 OMT786438 OCX786438 NTB786438 NJF786438 MZJ786438 MPN786438 MFR786438 LVV786438 LLZ786438 LCD786438 KSH786438 KIL786438 JYP786438 JOT786438 JEX786438 IVB786438 ILF786438 IBJ786438 HRN786438 HHR786438 GXV786438 GNZ786438 GED786438 FUH786438 FKL786438 FAP786438 EQT786438 EGX786438 DXB786438 DNF786438 DDJ786438 CTN786438 CJR786438 BZV786438 BPZ786438 BGD786438 AWH786438 AML786438 ACP786438 ST786438 IX786438 B786438 WVJ720902 WLN720902 WBR720902 VRV720902 VHZ720902 UYD720902 UOH720902 UEL720902 TUP720902 TKT720902 TAX720902 SRB720902 SHF720902 RXJ720902 RNN720902 RDR720902 QTV720902 QJZ720902 QAD720902 PQH720902 PGL720902 OWP720902 OMT720902 OCX720902 NTB720902 NJF720902 MZJ720902 MPN720902 MFR720902 LVV720902 LLZ720902 LCD720902 KSH720902 KIL720902 JYP720902 JOT720902 JEX720902 IVB720902 ILF720902 IBJ720902 HRN720902 HHR720902 GXV720902 GNZ720902 GED720902 FUH720902 FKL720902 FAP720902 EQT720902 EGX720902 DXB720902 DNF720902 DDJ720902 CTN720902 CJR720902 BZV720902 BPZ720902 BGD720902 AWH720902 AML720902 ACP720902 ST720902 IX720902 B720902 WVJ655366 WLN655366 WBR655366 VRV655366 VHZ655366 UYD655366 UOH655366 UEL655366 TUP655366 TKT655366 TAX655366 SRB655366 SHF655366 RXJ655366 RNN655366 RDR655366 QTV655366 QJZ655366 QAD655366 PQH655366 PGL655366 OWP655366 OMT655366 OCX655366 NTB655366 NJF655366 MZJ655366 MPN655366 MFR655366 LVV655366 LLZ655366 LCD655366 KSH655366 KIL655366 JYP655366 JOT655366 JEX655366 IVB655366 ILF655366 IBJ655366 HRN655366 HHR655366 GXV655366 GNZ655366 GED655366 FUH655366 FKL655366 FAP655366 EQT655366 EGX655366 DXB655366 DNF655366 DDJ655366 CTN655366 CJR655366 BZV655366 BPZ655366 BGD655366 AWH655366 AML655366 ACP655366 ST655366 IX655366 B655366 WVJ589830 WLN589830 WBR589830 VRV589830 VHZ589830 UYD589830 UOH589830 UEL589830 TUP589830 TKT589830 TAX589830 SRB589830 SHF589830 RXJ589830 RNN589830 RDR589830 QTV589830 QJZ589830 QAD589830 PQH589830 PGL589830 OWP589830 OMT589830 OCX589830 NTB589830 NJF589830 MZJ589830 MPN589830 MFR589830 LVV589830 LLZ589830 LCD589830 KSH589830 KIL589830 JYP589830 JOT589830 JEX589830 IVB589830 ILF589830 IBJ589830 HRN589830 HHR589830 GXV589830 GNZ589830 GED589830 FUH589830 FKL589830 FAP589830 EQT589830 EGX589830 DXB589830 DNF589830 DDJ589830 CTN589830 CJR589830 BZV589830 BPZ589830 BGD589830 AWH589830 AML589830 ACP589830 ST589830 IX589830 B589830 WVJ524294 WLN524294 WBR524294 VRV524294 VHZ524294 UYD524294 UOH524294 UEL524294 TUP524294 TKT524294 TAX524294 SRB524294 SHF524294 RXJ524294 RNN524294 RDR524294 QTV524294 QJZ524294 QAD524294 PQH524294 PGL524294 OWP524294 OMT524294 OCX524294 NTB524294 NJF524294 MZJ524294 MPN524294 MFR524294 LVV524294 LLZ524294 LCD524294 KSH524294 KIL524294 JYP524294 JOT524294 JEX524294 IVB524294 ILF524294 IBJ524294 HRN524294 HHR524294 GXV524294 GNZ524294 GED524294 FUH524294 FKL524294 FAP524294 EQT524294 EGX524294 DXB524294 DNF524294 DDJ524294 CTN524294 CJR524294 BZV524294 BPZ524294 BGD524294 AWH524294 AML524294 ACP524294 ST524294 IX524294 B524294 WVJ458758 WLN458758 WBR458758 VRV458758 VHZ458758 UYD458758 UOH458758 UEL458758 TUP458758 TKT458758 TAX458758 SRB458758 SHF458758 RXJ458758 RNN458758 RDR458758 QTV458758 QJZ458758 QAD458758 PQH458758 PGL458758 OWP458758 OMT458758 OCX458758 NTB458758 NJF458758 MZJ458758 MPN458758 MFR458758 LVV458758 LLZ458758 LCD458758 KSH458758 KIL458758 JYP458758 JOT458758 JEX458758 IVB458758 ILF458758 IBJ458758 HRN458758 HHR458758 GXV458758 GNZ458758 GED458758 FUH458758 FKL458758 FAP458758 EQT458758 EGX458758 DXB458758 DNF458758 DDJ458758 CTN458758 CJR458758 BZV458758 BPZ458758 BGD458758 AWH458758 AML458758 ACP458758 ST458758 IX458758 B458758 WVJ393222 WLN393222 WBR393222 VRV393222 VHZ393222 UYD393222 UOH393222 UEL393222 TUP393222 TKT393222 TAX393222 SRB393222 SHF393222 RXJ393222 RNN393222 RDR393222 QTV393222 QJZ393222 QAD393222 PQH393222 PGL393222 OWP393222 OMT393222 OCX393222 NTB393222 NJF393222 MZJ393222 MPN393222 MFR393222 LVV393222 LLZ393222 LCD393222 KSH393222 KIL393222 JYP393222 JOT393222 JEX393222 IVB393222 ILF393222 IBJ393222 HRN393222 HHR393222 GXV393222 GNZ393222 GED393222 FUH393222 FKL393222 FAP393222 EQT393222 EGX393222 DXB393222 DNF393222 DDJ393222 CTN393222 CJR393222 BZV393222 BPZ393222 BGD393222 AWH393222 AML393222 ACP393222 ST393222 IX393222 B393222 WVJ327686 WLN327686 WBR327686 VRV327686 VHZ327686 UYD327686 UOH327686 UEL327686 TUP327686 TKT327686 TAX327686 SRB327686 SHF327686 RXJ327686 RNN327686 RDR327686 QTV327686 QJZ327686 QAD327686 PQH327686 PGL327686 OWP327686 OMT327686 OCX327686 NTB327686 NJF327686 MZJ327686 MPN327686 MFR327686 LVV327686 LLZ327686 LCD327686 KSH327686 KIL327686 JYP327686 JOT327686 JEX327686 IVB327686 ILF327686 IBJ327686 HRN327686 HHR327686 GXV327686 GNZ327686 GED327686 FUH327686 FKL327686 FAP327686 EQT327686 EGX327686 DXB327686 DNF327686 DDJ327686 CTN327686 CJR327686 BZV327686 BPZ327686 BGD327686 AWH327686 AML327686 ACP327686 ST327686 IX327686 B327686 WVJ262150 WLN262150 WBR262150 VRV262150 VHZ262150 UYD262150 UOH262150 UEL262150 TUP262150 TKT262150 TAX262150 SRB262150 SHF262150 RXJ262150 RNN262150 RDR262150 QTV262150 QJZ262150 QAD262150 PQH262150 PGL262150 OWP262150 OMT262150 OCX262150 NTB262150 NJF262150 MZJ262150 MPN262150 MFR262150 LVV262150 LLZ262150 LCD262150 KSH262150 KIL262150 JYP262150 JOT262150 JEX262150 IVB262150 ILF262150 IBJ262150 HRN262150 HHR262150 GXV262150 GNZ262150 GED262150 FUH262150 FKL262150 FAP262150 EQT262150 EGX262150 DXB262150 DNF262150 DDJ262150 CTN262150 CJR262150 BZV262150 BPZ262150 BGD262150 AWH262150 AML262150 ACP262150 ST262150 IX262150 B262150 WVJ196614 WLN196614 WBR196614 VRV196614 VHZ196614 UYD196614 UOH196614 UEL196614 TUP196614 TKT196614 TAX196614 SRB196614 SHF196614 RXJ196614 RNN196614 RDR196614 QTV196614 QJZ196614 QAD196614 PQH196614 PGL196614 OWP196614 OMT196614 OCX196614 NTB196614 NJF196614 MZJ196614 MPN196614 MFR196614 LVV196614 LLZ196614 LCD196614 KSH196614 KIL196614 JYP196614 JOT196614 JEX196614 IVB196614 ILF196614 IBJ196614 HRN196614 HHR196614 GXV196614 GNZ196614 GED196614 FUH196614 FKL196614 FAP196614 EQT196614 EGX196614 DXB196614 DNF196614 DDJ196614 CTN196614 CJR196614 BZV196614 BPZ196614 BGD196614 AWH196614 AML196614 ACP196614 ST196614 IX196614 B196614 WVJ131078 WLN131078 WBR131078 VRV131078 VHZ131078 UYD131078 UOH131078 UEL131078 TUP131078 TKT131078 TAX131078 SRB131078 SHF131078 RXJ131078 RNN131078 RDR131078 QTV131078 QJZ131078 QAD131078 PQH131078 PGL131078 OWP131078 OMT131078 OCX131078 NTB131078 NJF131078 MZJ131078 MPN131078 MFR131078 LVV131078 LLZ131078 LCD131078 KSH131078 KIL131078 JYP131078 JOT131078 JEX131078 IVB131078 ILF131078 IBJ131078 HRN131078 HHR131078 GXV131078 GNZ131078 GED131078 FUH131078 FKL131078 FAP131078 EQT131078 EGX131078 DXB131078 DNF131078 DDJ131078 CTN131078 CJR131078 BZV131078 BPZ131078 BGD131078 AWH131078 AML131078 ACP131078 ST131078 IX131078 B131078 WVJ65542 WLN65542 WBR65542 VRV65542 VHZ65542 UYD65542 UOH65542 UEL65542 TUP65542 TKT65542 TAX65542 SRB65542 SHF65542 RXJ65542 RNN65542 RDR65542 QTV65542 QJZ65542 QAD65542 PQH65542 PGL65542 OWP65542 OMT65542 OCX65542 NTB65542 NJF65542 MZJ65542 MPN65542 MFR65542 LVV65542 LLZ65542 LCD65542 KSH65542 KIL65542 JYP65542 JOT65542 JEX65542 IVB65542 ILF65542 IBJ65542 HRN65542 HHR65542 GXV65542 GNZ65542 GED65542 FUH65542 FKL65542 FAP65542 EQT65542 EGX65542 DXB65542 DNF65542 DDJ65542 CTN65542 CJR65542 BZV65542 BPZ65542 BGD65542 AWH65542 AML65542 ACP65542 ST65542 IX65542 B65542 WVJ5 WLN5 WBR5 VRV5 VHZ5 UYD5 UOH5 UEL5 TUP5 TKT5 TAX5 SRB5 SHF5 RXJ5 RNN5 RDR5 QTV5 QJZ5 QAD5 PQH5 PGL5 OWP5 OMT5 OCX5 NTB5 NJF5 MZJ5 MPN5 MFR5 LVV5 LLZ5 LCD5 KSH5 KIL5 JYP5 JOT5 JEX5 IVB5 ILF5 IBJ5 HRN5 HHR5 GXV5 GNZ5 GED5 FUH5 FKL5 FAP5 EQT5 EGX5 DXB5 DNF5 DDJ5 CTN5 CJR5 BZV5 BPZ5 BGD5 AWH5 AML5 ACP5 ST5 IX5 B5 WVL983045 WLP983045 WBT983045 VRX983045 VIB983045 UYF983045 UOJ983045 UEN983045 TUR983045 TKV983045 TAZ983045 SRD983045 SHH983045 RXL983045 RNP983045 RDT983045 QTX983045 QKB983045 QAF983045 PQJ983045 PGN983045 OWR983045 OMV983045 OCZ983045 NTD983045 NJH983045 MZL983045 MPP983045 MFT983045 LVX983045 LMB983045 LCF983045 KSJ983045 KIN983045 JYR983045 JOV983045 JEZ983045 IVD983045 ILH983045 IBL983045 HRP983045 HHT983045 GXX983045 GOB983045 GEF983045 FUJ983045 FKN983045 FAR983045 EQV983045 EGZ983045 DXD983045 DNH983045 DDL983045 CTP983045 CJT983045 BZX983045 BQB983045 BGF983045 AWJ983045 AMN983045 ACR983045 SV983045 IZ983045 D983045 WVL917509 WLP917509 WBT917509 VRX917509 VIB917509 UYF917509 UOJ917509 UEN917509 TUR917509 TKV917509 TAZ917509 SRD917509 SHH917509 RXL917509 RNP917509 RDT917509 QTX917509 QKB917509 QAF917509 PQJ917509 PGN917509 OWR917509 OMV917509 OCZ917509 NTD917509 NJH917509 MZL917509 MPP917509 MFT917509 LVX917509 LMB917509 LCF917509 KSJ917509 KIN917509 JYR917509 JOV917509 JEZ917509 IVD917509 ILH917509 IBL917509 HRP917509 HHT917509 GXX917509 GOB917509 GEF917509 FUJ917509 FKN917509 FAR917509 EQV917509 EGZ917509 DXD917509 DNH917509 DDL917509 CTP917509 CJT917509 BZX917509 BQB917509 BGF917509 AWJ917509 AMN917509 ACR917509 SV917509 IZ917509 D917509 WVL851973 WLP851973 WBT851973 VRX851973 VIB851973 UYF851973 UOJ851973 UEN851973 TUR851973 TKV851973 TAZ851973 SRD851973 SHH851973 RXL851973 RNP851973 RDT851973 QTX851973 QKB851973 QAF851973 PQJ851973 PGN851973 OWR851973 OMV851973 OCZ851973 NTD851973 NJH851973 MZL851973 MPP851973 MFT851973 LVX851973 LMB851973 LCF851973 KSJ851973 KIN851973 JYR851973 JOV851973 JEZ851973 IVD851973 ILH851973 IBL851973 HRP851973 HHT851973 GXX851973 GOB851973 GEF851973 FUJ851973 FKN851973 FAR851973 EQV851973 EGZ851973 DXD851973 DNH851973 DDL851973 CTP851973 CJT851973 BZX851973 BQB851973 BGF851973 AWJ851973 AMN851973 ACR851973 SV851973 IZ851973 D851973 WVL786437 WLP786437 WBT786437 VRX786437 VIB786437 UYF786437 UOJ786437 UEN786437 TUR786437 TKV786437 TAZ786437 SRD786437 SHH786437 RXL786437 RNP786437 RDT786437 QTX786437 QKB786437 QAF786437 PQJ786437 PGN786437 OWR786437 OMV786437 OCZ786437 NTD786437 NJH786437 MZL786437 MPP786437 MFT786437 LVX786437 LMB786437 LCF786437 KSJ786437 KIN786437 JYR786437 JOV786437 JEZ786437 IVD786437 ILH786437 IBL786437 HRP786437 HHT786437 GXX786437 GOB786437 GEF786437 FUJ786437 FKN786437 FAR786437 EQV786437 EGZ786437 DXD786437 DNH786437 DDL786437 CTP786437 CJT786437 BZX786437 BQB786437 BGF786437 AWJ786437 AMN786437 ACR786437 SV786437 IZ786437 D786437 WVL720901 WLP720901 WBT720901 VRX720901 VIB720901 UYF720901 UOJ720901 UEN720901 TUR720901 TKV720901 TAZ720901 SRD720901 SHH720901 RXL720901 RNP720901 RDT720901 QTX720901 QKB720901 QAF720901 PQJ720901 PGN720901 OWR720901 OMV720901 OCZ720901 NTD720901 NJH720901 MZL720901 MPP720901 MFT720901 LVX720901 LMB720901 LCF720901 KSJ720901 KIN720901 JYR720901 JOV720901 JEZ720901 IVD720901 ILH720901 IBL720901 HRP720901 HHT720901 GXX720901 GOB720901 GEF720901 FUJ720901 FKN720901 FAR720901 EQV720901 EGZ720901 DXD720901 DNH720901 DDL720901 CTP720901 CJT720901 BZX720901 BQB720901 BGF720901 AWJ720901 AMN720901 ACR720901 SV720901 IZ720901 D720901 WVL655365 WLP655365 WBT655365 VRX655365 VIB655365 UYF655365 UOJ655365 UEN655365 TUR655365 TKV655365 TAZ655365 SRD655365 SHH655365 RXL655365 RNP655365 RDT655365 QTX655365 QKB655365 QAF655365 PQJ655365 PGN655365 OWR655365 OMV655365 OCZ655365 NTD655365 NJH655365 MZL655365 MPP655365 MFT655365 LVX655365 LMB655365 LCF655365 KSJ655365 KIN655365 JYR655365 JOV655365 JEZ655365 IVD655365 ILH655365 IBL655365 HRP655365 HHT655365 GXX655365 GOB655365 GEF655365 FUJ655365 FKN655365 FAR655365 EQV655365 EGZ655365 DXD655365 DNH655365 DDL655365 CTP655365 CJT655365 BZX655365 BQB655365 BGF655365 AWJ655365 AMN655365 ACR655365 SV655365 IZ655365 D655365 WVL589829 WLP589829 WBT589829 VRX589829 VIB589829 UYF589829 UOJ589829 UEN589829 TUR589829 TKV589829 TAZ589829 SRD589829 SHH589829 RXL589829 RNP589829 RDT589829 QTX589829 QKB589829 QAF589829 PQJ589829 PGN589829 OWR589829 OMV589829 OCZ589829 NTD589829 NJH589829 MZL589829 MPP589829 MFT589829 LVX589829 LMB589829 LCF589829 KSJ589829 KIN589829 JYR589829 JOV589829 JEZ589829 IVD589829 ILH589829 IBL589829 HRP589829 HHT589829 GXX589829 GOB589829 GEF589829 FUJ589829 FKN589829 FAR589829 EQV589829 EGZ589829 DXD589829 DNH589829 DDL589829 CTP589829 CJT589829 BZX589829 BQB589829 BGF589829 AWJ589829 AMN589829 ACR589829 SV589829 IZ589829 D589829 WVL524293 WLP524293 WBT524293 VRX524293 VIB524293 UYF524293 UOJ524293 UEN524293 TUR524293 TKV524293 TAZ524293 SRD524293 SHH524293 RXL524293 RNP524293 RDT524293 QTX524293 QKB524293 QAF524293 PQJ524293 PGN524293 OWR524293 OMV524293 OCZ524293 NTD524293 NJH524293 MZL524293 MPP524293 MFT524293 LVX524293 LMB524293 LCF524293 KSJ524293 KIN524293 JYR524293 JOV524293 JEZ524293 IVD524293 ILH524293 IBL524293 HRP524293 HHT524293 GXX524293 GOB524293 GEF524293 FUJ524293 FKN524293 FAR524293 EQV524293 EGZ524293 DXD524293 DNH524293 DDL524293 CTP524293 CJT524293 BZX524293 BQB524293 BGF524293 AWJ524293 AMN524293 ACR524293 SV524293 IZ524293 D524293 WVL458757 WLP458757 WBT458757 VRX458757 VIB458757 UYF458757 UOJ458757 UEN458757 TUR458757 TKV458757 TAZ458757 SRD458757 SHH458757 RXL458757 RNP458757 RDT458757 QTX458757 QKB458757 QAF458757 PQJ458757 PGN458757 OWR458757 OMV458757 OCZ458757 NTD458757 NJH458757 MZL458757 MPP458757 MFT458757 LVX458757 LMB458757 LCF458757 KSJ458757 KIN458757 JYR458757 JOV458757 JEZ458757 IVD458757 ILH458757 IBL458757 HRP458757 HHT458757 GXX458757 GOB458757 GEF458757 FUJ458757 FKN458757 FAR458757 EQV458757 EGZ458757 DXD458757 DNH458757 DDL458757 CTP458757 CJT458757 BZX458757 BQB458757 BGF458757 AWJ458757 AMN458757 ACR458757 SV458757 IZ458757 D458757 WVL393221 WLP393221 WBT393221 VRX393221 VIB393221 UYF393221 UOJ393221 UEN393221 TUR393221 TKV393221 TAZ393221 SRD393221 SHH393221 RXL393221 RNP393221 RDT393221 QTX393221 QKB393221 QAF393221 PQJ393221 PGN393221 OWR393221 OMV393221 OCZ393221 NTD393221 NJH393221 MZL393221 MPP393221 MFT393221 LVX393221 LMB393221 LCF393221 KSJ393221 KIN393221 JYR393221 JOV393221 JEZ393221 IVD393221 ILH393221 IBL393221 HRP393221 HHT393221 GXX393221 GOB393221 GEF393221 FUJ393221 FKN393221 FAR393221 EQV393221 EGZ393221 DXD393221 DNH393221 DDL393221 CTP393221 CJT393221 BZX393221 BQB393221 BGF393221 AWJ393221 AMN393221 ACR393221 SV393221 IZ393221 D393221 WVL327685 WLP327685 WBT327685 VRX327685 VIB327685 UYF327685 UOJ327685 UEN327685 TUR327685 TKV327685 TAZ327685 SRD327685 SHH327685 RXL327685 RNP327685 RDT327685 QTX327685 QKB327685 QAF327685 PQJ327685 PGN327685 OWR327685 OMV327685 OCZ327685 NTD327685 NJH327685 MZL327685 MPP327685 MFT327685 LVX327685 LMB327685 LCF327685 KSJ327685 KIN327685 JYR327685 JOV327685 JEZ327685 IVD327685 ILH327685 IBL327685 HRP327685 HHT327685 GXX327685 GOB327685 GEF327685 FUJ327685 FKN327685 FAR327685 EQV327685 EGZ327685 DXD327685 DNH327685 DDL327685 CTP327685 CJT327685 BZX327685 BQB327685 BGF327685 AWJ327685 AMN327685 ACR327685 SV327685 IZ327685 D327685 WVL262149 WLP262149 WBT262149 VRX262149 VIB262149 UYF262149 UOJ262149 UEN262149 TUR262149 TKV262149 TAZ262149 SRD262149 SHH262149 RXL262149 RNP262149 RDT262149 QTX262149 QKB262149 QAF262149 PQJ262149 PGN262149 OWR262149 OMV262149 OCZ262149 NTD262149 NJH262149 MZL262149 MPP262149 MFT262149 LVX262149 LMB262149 LCF262149 KSJ262149 KIN262149 JYR262149 JOV262149 JEZ262149 IVD262149 ILH262149 IBL262149 HRP262149 HHT262149 GXX262149 GOB262149 GEF262149 FUJ262149 FKN262149 FAR262149 EQV262149 EGZ262149 DXD262149 DNH262149 DDL262149 CTP262149 CJT262149 BZX262149 BQB262149 BGF262149 AWJ262149 AMN262149 ACR262149 SV262149 IZ262149 D262149 WVL196613 WLP196613 WBT196613 VRX196613 VIB196613 UYF196613 UOJ196613 UEN196613 TUR196613 TKV196613 TAZ196613 SRD196613 SHH196613 RXL196613 RNP196613 RDT196613 QTX196613 QKB196613 QAF196613 PQJ196613 PGN196613 OWR196613 OMV196613 OCZ196613 NTD196613 NJH196613 MZL196613 MPP196613 MFT196613 LVX196613 LMB196613 LCF196613 KSJ196613 KIN196613 JYR196613 JOV196613 JEZ196613 IVD196613 ILH196613 IBL196613 HRP196613 HHT196613 GXX196613 GOB196613 GEF196613 FUJ196613 FKN196613 FAR196613 EQV196613 EGZ196613 DXD196613 DNH196613 DDL196613 CTP196613 CJT196613 BZX196613 BQB196613 BGF196613 AWJ196613 AMN196613 ACR196613 SV196613 IZ196613 D196613 WVL131077 WLP131077 WBT131077 VRX131077 VIB131077 UYF131077 UOJ131077 UEN131077 TUR131077 TKV131077 TAZ131077 SRD131077 SHH131077 RXL131077 RNP131077 RDT131077 QTX131077 QKB131077 QAF131077 PQJ131077 PGN131077 OWR131077 OMV131077 OCZ131077 NTD131077 NJH131077 MZL131077 MPP131077 MFT131077 LVX131077 LMB131077 LCF131077 KSJ131077 KIN131077 JYR131077 JOV131077 JEZ131077 IVD131077 ILH131077 IBL131077 HRP131077 HHT131077 GXX131077 GOB131077 GEF131077 FUJ131077 FKN131077 FAR131077 EQV131077 EGZ131077 DXD131077 DNH131077 DDL131077 CTP131077 CJT131077 BZX131077 BQB131077 BGF131077 AWJ131077 AMN131077 ACR131077 SV131077 IZ131077 D131077 WVL65541 WLP65541 WBT65541 VRX65541 VIB65541 UYF65541 UOJ65541 UEN65541 TUR65541 TKV65541 TAZ65541 SRD65541 SHH65541 RXL65541 RNP65541 RDT65541 QTX65541 QKB65541 QAF65541 PQJ65541 PGN65541 OWR65541 OMV65541 OCZ65541 NTD65541 NJH65541 MZL65541 MPP65541 MFT65541 LVX65541 LMB65541 LCF65541 KSJ65541 KIN65541 JYR65541 JOV65541 JEZ65541 IVD65541 ILH65541 IBL65541 HRP65541 HHT65541 GXX65541 GOB65541 GEF65541 FUJ65541 FKN65541 FAR65541 EQV65541 EGZ65541 DXD65541 DNH65541 DDL65541 CTP65541 CJT65541 BZX65541 BQB65541 BGF65541 AWJ65541 AMN65541 ACR65541 SV65541 IZ65541 D65541 WVL4 WLP4 WBT4 VRX4 VIB4 UYF4 UOJ4 UEN4 TUR4 TKV4 TAZ4 SRD4 SHH4 RXL4 RNP4 RDT4 QTX4 QKB4 QAF4 PQJ4 PGN4 OWR4 OMV4 OCZ4 NTD4 NJH4 MZL4 MPP4 MFT4 LVX4 LMB4 LCF4 KSJ4 KIN4 JYR4 JOV4 JEZ4 IVD4 ILH4 IBL4 HRP4 HHT4 GXX4 GOB4 GEF4 FUJ4 FKN4 FAR4 EQV4 EGZ4 DXD4 DNH4 DDL4 CTP4 CJT4 BZX4 BQB4 BGF4 AWJ4 AMN4 ACR4 SV4 IZ4">
      <formula1>0</formula1>
      <formula2>0</formula2>
    </dataValidation>
    <dataValidation type="list" operator="equal" allowBlank="1" showErrorMessage="1" sqref="JB4 WVN983045 WLR983045 WBV983045 VRZ983045 VID983045 UYH983045 UOL983045 UEP983045 TUT983045 TKX983045 TBB983045 SRF983045 SHJ983045 RXN983045 RNR983045 RDV983045 QTZ983045 QKD983045 QAH983045 PQL983045 PGP983045 OWT983045 OMX983045 ODB983045 NTF983045 NJJ983045 MZN983045 MPR983045 MFV983045 LVZ983045 LMD983045 LCH983045 KSL983045 KIP983045 JYT983045 JOX983045 JFB983045 IVF983045 ILJ983045 IBN983045 HRR983045 HHV983045 GXZ983045 GOD983045 GEH983045 FUL983045 FKP983045 FAT983045 EQX983045 EHB983045 DXF983045 DNJ983045 DDN983045 CTR983045 CJV983045 BZZ983045 BQD983045 BGH983045 AWL983045 AMP983045 ACT983045 SX983045 JB983045 F983045 WVN917509 WLR917509 WBV917509 VRZ917509 VID917509 UYH917509 UOL917509 UEP917509 TUT917509 TKX917509 TBB917509 SRF917509 SHJ917509 RXN917509 RNR917509 RDV917509 QTZ917509 QKD917509 QAH917509 PQL917509 PGP917509 OWT917509 OMX917509 ODB917509 NTF917509 NJJ917509 MZN917509 MPR917509 MFV917509 LVZ917509 LMD917509 LCH917509 KSL917509 KIP917509 JYT917509 JOX917509 JFB917509 IVF917509 ILJ917509 IBN917509 HRR917509 HHV917509 GXZ917509 GOD917509 GEH917509 FUL917509 FKP917509 FAT917509 EQX917509 EHB917509 DXF917509 DNJ917509 DDN917509 CTR917509 CJV917509 BZZ917509 BQD917509 BGH917509 AWL917509 AMP917509 ACT917509 SX917509 JB917509 F917509 WVN851973 WLR851973 WBV851973 VRZ851973 VID851973 UYH851973 UOL851973 UEP851973 TUT851973 TKX851973 TBB851973 SRF851973 SHJ851973 RXN851973 RNR851973 RDV851973 QTZ851973 QKD851973 QAH851973 PQL851973 PGP851973 OWT851973 OMX851973 ODB851973 NTF851973 NJJ851973 MZN851973 MPR851973 MFV851973 LVZ851973 LMD851973 LCH851973 KSL851973 KIP851973 JYT851973 JOX851973 JFB851973 IVF851973 ILJ851973 IBN851973 HRR851973 HHV851973 GXZ851973 GOD851973 GEH851973 FUL851973 FKP851973 FAT851973 EQX851973 EHB851973 DXF851973 DNJ851973 DDN851973 CTR851973 CJV851973 BZZ851973 BQD851973 BGH851973 AWL851973 AMP851973 ACT851973 SX851973 JB851973 F851973 WVN786437 WLR786437 WBV786437 VRZ786437 VID786437 UYH786437 UOL786437 UEP786437 TUT786437 TKX786437 TBB786437 SRF786437 SHJ786437 RXN786437 RNR786437 RDV786437 QTZ786437 QKD786437 QAH786437 PQL786437 PGP786437 OWT786437 OMX786437 ODB786437 NTF786437 NJJ786437 MZN786437 MPR786437 MFV786437 LVZ786437 LMD786437 LCH786437 KSL786437 KIP786437 JYT786437 JOX786437 JFB786437 IVF786437 ILJ786437 IBN786437 HRR786437 HHV786437 GXZ786437 GOD786437 GEH786437 FUL786437 FKP786437 FAT786437 EQX786437 EHB786437 DXF786437 DNJ786437 DDN786437 CTR786437 CJV786437 BZZ786437 BQD786437 BGH786437 AWL786437 AMP786437 ACT786437 SX786437 JB786437 F786437 WVN720901 WLR720901 WBV720901 VRZ720901 VID720901 UYH720901 UOL720901 UEP720901 TUT720901 TKX720901 TBB720901 SRF720901 SHJ720901 RXN720901 RNR720901 RDV720901 QTZ720901 QKD720901 QAH720901 PQL720901 PGP720901 OWT720901 OMX720901 ODB720901 NTF720901 NJJ720901 MZN720901 MPR720901 MFV720901 LVZ720901 LMD720901 LCH720901 KSL720901 KIP720901 JYT720901 JOX720901 JFB720901 IVF720901 ILJ720901 IBN720901 HRR720901 HHV720901 GXZ720901 GOD720901 GEH720901 FUL720901 FKP720901 FAT720901 EQX720901 EHB720901 DXF720901 DNJ720901 DDN720901 CTR720901 CJV720901 BZZ720901 BQD720901 BGH720901 AWL720901 AMP720901 ACT720901 SX720901 JB720901 F720901 WVN655365 WLR655365 WBV655365 VRZ655365 VID655365 UYH655365 UOL655365 UEP655365 TUT655365 TKX655365 TBB655365 SRF655365 SHJ655365 RXN655365 RNR655365 RDV655365 QTZ655365 QKD655365 QAH655365 PQL655365 PGP655365 OWT655365 OMX655365 ODB655365 NTF655365 NJJ655365 MZN655365 MPR655365 MFV655365 LVZ655365 LMD655365 LCH655365 KSL655365 KIP655365 JYT655365 JOX655365 JFB655365 IVF655365 ILJ655365 IBN655365 HRR655365 HHV655365 GXZ655365 GOD655365 GEH655365 FUL655365 FKP655365 FAT655365 EQX655365 EHB655365 DXF655365 DNJ655365 DDN655365 CTR655365 CJV655365 BZZ655365 BQD655365 BGH655365 AWL655365 AMP655365 ACT655365 SX655365 JB655365 F655365 WVN589829 WLR589829 WBV589829 VRZ589829 VID589829 UYH589829 UOL589829 UEP589829 TUT589829 TKX589829 TBB589829 SRF589829 SHJ589829 RXN589829 RNR589829 RDV589829 QTZ589829 QKD589829 QAH589829 PQL589829 PGP589829 OWT589829 OMX589829 ODB589829 NTF589829 NJJ589829 MZN589829 MPR589829 MFV589829 LVZ589829 LMD589829 LCH589829 KSL589829 KIP589829 JYT589829 JOX589829 JFB589829 IVF589829 ILJ589829 IBN589829 HRR589829 HHV589829 GXZ589829 GOD589829 GEH589829 FUL589829 FKP589829 FAT589829 EQX589829 EHB589829 DXF589829 DNJ589829 DDN589829 CTR589829 CJV589829 BZZ589829 BQD589829 BGH589829 AWL589829 AMP589829 ACT589829 SX589829 JB589829 F589829 WVN524293 WLR524293 WBV524293 VRZ524293 VID524293 UYH524293 UOL524293 UEP524293 TUT524293 TKX524293 TBB524293 SRF524293 SHJ524293 RXN524293 RNR524293 RDV524293 QTZ524293 QKD524293 QAH524293 PQL524293 PGP524293 OWT524293 OMX524293 ODB524293 NTF524293 NJJ524293 MZN524293 MPR524293 MFV524293 LVZ524293 LMD524293 LCH524293 KSL524293 KIP524293 JYT524293 JOX524293 JFB524293 IVF524293 ILJ524293 IBN524293 HRR524293 HHV524293 GXZ524293 GOD524293 GEH524293 FUL524293 FKP524293 FAT524293 EQX524293 EHB524293 DXF524293 DNJ524293 DDN524293 CTR524293 CJV524293 BZZ524293 BQD524293 BGH524293 AWL524293 AMP524293 ACT524293 SX524293 JB524293 F524293 WVN458757 WLR458757 WBV458757 VRZ458757 VID458757 UYH458757 UOL458757 UEP458757 TUT458757 TKX458757 TBB458757 SRF458757 SHJ458757 RXN458757 RNR458757 RDV458757 QTZ458757 QKD458757 QAH458757 PQL458757 PGP458757 OWT458757 OMX458757 ODB458757 NTF458757 NJJ458757 MZN458757 MPR458757 MFV458757 LVZ458757 LMD458757 LCH458757 KSL458757 KIP458757 JYT458757 JOX458757 JFB458757 IVF458757 ILJ458757 IBN458757 HRR458757 HHV458757 GXZ458757 GOD458757 GEH458757 FUL458757 FKP458757 FAT458757 EQX458757 EHB458757 DXF458757 DNJ458757 DDN458757 CTR458757 CJV458757 BZZ458757 BQD458757 BGH458757 AWL458757 AMP458757 ACT458757 SX458757 JB458757 F458757 WVN393221 WLR393221 WBV393221 VRZ393221 VID393221 UYH393221 UOL393221 UEP393221 TUT393221 TKX393221 TBB393221 SRF393221 SHJ393221 RXN393221 RNR393221 RDV393221 QTZ393221 QKD393221 QAH393221 PQL393221 PGP393221 OWT393221 OMX393221 ODB393221 NTF393221 NJJ393221 MZN393221 MPR393221 MFV393221 LVZ393221 LMD393221 LCH393221 KSL393221 KIP393221 JYT393221 JOX393221 JFB393221 IVF393221 ILJ393221 IBN393221 HRR393221 HHV393221 GXZ393221 GOD393221 GEH393221 FUL393221 FKP393221 FAT393221 EQX393221 EHB393221 DXF393221 DNJ393221 DDN393221 CTR393221 CJV393221 BZZ393221 BQD393221 BGH393221 AWL393221 AMP393221 ACT393221 SX393221 JB393221 F393221 WVN327685 WLR327685 WBV327685 VRZ327685 VID327685 UYH327685 UOL327685 UEP327685 TUT327685 TKX327685 TBB327685 SRF327685 SHJ327685 RXN327685 RNR327685 RDV327685 QTZ327685 QKD327685 QAH327685 PQL327685 PGP327685 OWT327685 OMX327685 ODB327685 NTF327685 NJJ327685 MZN327685 MPR327685 MFV327685 LVZ327685 LMD327685 LCH327685 KSL327685 KIP327685 JYT327685 JOX327685 JFB327685 IVF327685 ILJ327685 IBN327685 HRR327685 HHV327685 GXZ327685 GOD327685 GEH327685 FUL327685 FKP327685 FAT327685 EQX327685 EHB327685 DXF327685 DNJ327685 DDN327685 CTR327685 CJV327685 BZZ327685 BQD327685 BGH327685 AWL327685 AMP327685 ACT327685 SX327685 JB327685 F327685 WVN262149 WLR262149 WBV262149 VRZ262149 VID262149 UYH262149 UOL262149 UEP262149 TUT262149 TKX262149 TBB262149 SRF262149 SHJ262149 RXN262149 RNR262149 RDV262149 QTZ262149 QKD262149 QAH262149 PQL262149 PGP262149 OWT262149 OMX262149 ODB262149 NTF262149 NJJ262149 MZN262149 MPR262149 MFV262149 LVZ262149 LMD262149 LCH262149 KSL262149 KIP262149 JYT262149 JOX262149 JFB262149 IVF262149 ILJ262149 IBN262149 HRR262149 HHV262149 GXZ262149 GOD262149 GEH262149 FUL262149 FKP262149 FAT262149 EQX262149 EHB262149 DXF262149 DNJ262149 DDN262149 CTR262149 CJV262149 BZZ262149 BQD262149 BGH262149 AWL262149 AMP262149 ACT262149 SX262149 JB262149 F262149 WVN196613 WLR196613 WBV196613 VRZ196613 VID196613 UYH196613 UOL196613 UEP196613 TUT196613 TKX196613 TBB196613 SRF196613 SHJ196613 RXN196613 RNR196613 RDV196613 QTZ196613 QKD196613 QAH196613 PQL196613 PGP196613 OWT196613 OMX196613 ODB196613 NTF196613 NJJ196613 MZN196613 MPR196613 MFV196613 LVZ196613 LMD196613 LCH196613 KSL196613 KIP196613 JYT196613 JOX196613 JFB196613 IVF196613 ILJ196613 IBN196613 HRR196613 HHV196613 GXZ196613 GOD196613 GEH196613 FUL196613 FKP196613 FAT196613 EQX196613 EHB196613 DXF196613 DNJ196613 DDN196613 CTR196613 CJV196613 BZZ196613 BQD196613 BGH196613 AWL196613 AMP196613 ACT196613 SX196613 JB196613 F196613 WVN131077 WLR131077 WBV131077 VRZ131077 VID131077 UYH131077 UOL131077 UEP131077 TUT131077 TKX131077 TBB131077 SRF131077 SHJ131077 RXN131077 RNR131077 RDV131077 QTZ131077 QKD131077 QAH131077 PQL131077 PGP131077 OWT131077 OMX131077 ODB131077 NTF131077 NJJ131077 MZN131077 MPR131077 MFV131077 LVZ131077 LMD131077 LCH131077 KSL131077 KIP131077 JYT131077 JOX131077 JFB131077 IVF131077 ILJ131077 IBN131077 HRR131077 HHV131077 GXZ131077 GOD131077 GEH131077 FUL131077 FKP131077 FAT131077 EQX131077 EHB131077 DXF131077 DNJ131077 DDN131077 CTR131077 CJV131077 BZZ131077 BQD131077 BGH131077 AWL131077 AMP131077 ACT131077 SX131077 JB131077 F131077 WVN65541 WLR65541 WBV65541 VRZ65541 VID65541 UYH65541 UOL65541 UEP65541 TUT65541 TKX65541 TBB65541 SRF65541 SHJ65541 RXN65541 RNR65541 RDV65541 QTZ65541 QKD65541 QAH65541 PQL65541 PGP65541 OWT65541 OMX65541 ODB65541 NTF65541 NJJ65541 MZN65541 MPR65541 MFV65541 LVZ65541 LMD65541 LCH65541 KSL65541 KIP65541 JYT65541 JOX65541 JFB65541 IVF65541 ILJ65541 IBN65541 HRR65541 HHV65541 GXZ65541 GOD65541 GEH65541 FUL65541 FKP65541 FAT65541 EQX65541 EHB65541 DXF65541 DNJ65541 DDN65541 CTR65541 CJV65541 BZZ65541 BQD65541 BGH65541 AWL65541 AMP65541 ACT65541 SX65541 JB65541 F65541 WVN4 WLR4 WBV4 VRZ4 VID4 UYH4 UOL4 UEP4 TUT4 TKX4 TBB4 SRF4 SHJ4 RXN4 RNR4 RDV4 QTZ4 QKD4 QAH4 PQL4 PGP4 OWT4 OMX4 ODB4 NTF4 NJJ4 MZN4 MPR4 MFV4 LVZ4 LMD4 LCH4 KSL4 KIP4 JYT4 JOX4 JFB4 IVF4 ILJ4 IBN4 HRR4 HHV4 GXZ4 GOD4 GEH4 FUL4 FKP4 FAT4 EQX4 EHB4 DXF4 DNJ4 DDN4 CTR4 CJV4 BZZ4 BQD4 BGH4 AWL4 AMP4 ACT4 SX4">
      <formula1>#N/A</formula1>
      <formula2>0</formula2>
    </dataValidation>
    <dataValidation type="list" operator="equal" allowBlank="1" showErrorMessage="1" sqref="D5 WVL983046 WLP983046 WBT983046 VRX983046 VIB983046 UYF983046 UOJ983046 UEN983046 TUR983046 TKV983046 TAZ983046 SRD983046 SHH983046 RXL983046 RNP983046 RDT983046 QTX983046 QKB983046 QAF983046 PQJ983046 PGN983046 OWR983046 OMV983046 OCZ983046 NTD983046 NJH983046 MZL983046 MPP983046 MFT983046 LVX983046 LMB983046 LCF983046 KSJ983046 KIN983046 JYR983046 JOV983046 JEZ983046 IVD983046 ILH983046 IBL983046 HRP983046 HHT983046 GXX983046 GOB983046 GEF983046 FUJ983046 FKN983046 FAR983046 EQV983046 EGZ983046 DXD983046 DNH983046 DDL983046 CTP983046 CJT983046 BZX983046 BQB983046 BGF983046 AWJ983046 AMN983046 ACR983046 SV983046 IZ983046 D983046 WVL917510 WLP917510 WBT917510 VRX917510 VIB917510 UYF917510 UOJ917510 UEN917510 TUR917510 TKV917510 TAZ917510 SRD917510 SHH917510 RXL917510 RNP917510 RDT917510 QTX917510 QKB917510 QAF917510 PQJ917510 PGN917510 OWR917510 OMV917510 OCZ917510 NTD917510 NJH917510 MZL917510 MPP917510 MFT917510 LVX917510 LMB917510 LCF917510 KSJ917510 KIN917510 JYR917510 JOV917510 JEZ917510 IVD917510 ILH917510 IBL917510 HRP917510 HHT917510 GXX917510 GOB917510 GEF917510 FUJ917510 FKN917510 FAR917510 EQV917510 EGZ917510 DXD917510 DNH917510 DDL917510 CTP917510 CJT917510 BZX917510 BQB917510 BGF917510 AWJ917510 AMN917510 ACR917510 SV917510 IZ917510 D917510 WVL851974 WLP851974 WBT851974 VRX851974 VIB851974 UYF851974 UOJ851974 UEN851974 TUR851974 TKV851974 TAZ851974 SRD851974 SHH851974 RXL851974 RNP851974 RDT851974 QTX851974 QKB851974 QAF851974 PQJ851974 PGN851974 OWR851974 OMV851974 OCZ851974 NTD851974 NJH851974 MZL851974 MPP851974 MFT851974 LVX851974 LMB851974 LCF851974 KSJ851974 KIN851974 JYR851974 JOV851974 JEZ851974 IVD851974 ILH851974 IBL851974 HRP851974 HHT851974 GXX851974 GOB851974 GEF851974 FUJ851974 FKN851974 FAR851974 EQV851974 EGZ851974 DXD851974 DNH851974 DDL851974 CTP851974 CJT851974 BZX851974 BQB851974 BGF851974 AWJ851974 AMN851974 ACR851974 SV851974 IZ851974 D851974 WVL786438 WLP786438 WBT786438 VRX786438 VIB786438 UYF786438 UOJ786438 UEN786438 TUR786438 TKV786438 TAZ786438 SRD786438 SHH786438 RXL786438 RNP786438 RDT786438 QTX786438 QKB786438 QAF786438 PQJ786438 PGN786438 OWR786438 OMV786438 OCZ786438 NTD786438 NJH786438 MZL786438 MPP786438 MFT786438 LVX786438 LMB786438 LCF786438 KSJ786438 KIN786438 JYR786438 JOV786438 JEZ786438 IVD786438 ILH786438 IBL786438 HRP786438 HHT786438 GXX786438 GOB786438 GEF786438 FUJ786438 FKN786438 FAR786438 EQV786438 EGZ786438 DXD786438 DNH786438 DDL786438 CTP786438 CJT786438 BZX786438 BQB786438 BGF786438 AWJ786438 AMN786438 ACR786438 SV786438 IZ786438 D786438 WVL720902 WLP720902 WBT720902 VRX720902 VIB720902 UYF720902 UOJ720902 UEN720902 TUR720902 TKV720902 TAZ720902 SRD720902 SHH720902 RXL720902 RNP720902 RDT720902 QTX720902 QKB720902 QAF720902 PQJ720902 PGN720902 OWR720902 OMV720902 OCZ720902 NTD720902 NJH720902 MZL720902 MPP720902 MFT720902 LVX720902 LMB720902 LCF720902 KSJ720902 KIN720902 JYR720902 JOV720902 JEZ720902 IVD720902 ILH720902 IBL720902 HRP720902 HHT720902 GXX720902 GOB720902 GEF720902 FUJ720902 FKN720902 FAR720902 EQV720902 EGZ720902 DXD720902 DNH720902 DDL720902 CTP720902 CJT720902 BZX720902 BQB720902 BGF720902 AWJ720902 AMN720902 ACR720902 SV720902 IZ720902 D720902 WVL655366 WLP655366 WBT655366 VRX655366 VIB655366 UYF655366 UOJ655366 UEN655366 TUR655366 TKV655366 TAZ655366 SRD655366 SHH655366 RXL655366 RNP655366 RDT655366 QTX655366 QKB655366 QAF655366 PQJ655366 PGN655366 OWR655366 OMV655366 OCZ655366 NTD655366 NJH655366 MZL655366 MPP655366 MFT655366 LVX655366 LMB655366 LCF655366 KSJ655366 KIN655366 JYR655366 JOV655366 JEZ655366 IVD655366 ILH655366 IBL655366 HRP655366 HHT655366 GXX655366 GOB655366 GEF655366 FUJ655366 FKN655366 FAR655366 EQV655366 EGZ655366 DXD655366 DNH655366 DDL655366 CTP655366 CJT655366 BZX655366 BQB655366 BGF655366 AWJ655366 AMN655366 ACR655366 SV655366 IZ655366 D655366 WVL589830 WLP589830 WBT589830 VRX589830 VIB589830 UYF589830 UOJ589830 UEN589830 TUR589830 TKV589830 TAZ589830 SRD589830 SHH589830 RXL589830 RNP589830 RDT589830 QTX589830 QKB589830 QAF589830 PQJ589830 PGN589830 OWR589830 OMV589830 OCZ589830 NTD589830 NJH589830 MZL589830 MPP589830 MFT589830 LVX589830 LMB589830 LCF589830 KSJ589830 KIN589830 JYR589830 JOV589830 JEZ589830 IVD589830 ILH589830 IBL589830 HRP589830 HHT589830 GXX589830 GOB589830 GEF589830 FUJ589830 FKN589830 FAR589830 EQV589830 EGZ589830 DXD589830 DNH589830 DDL589830 CTP589830 CJT589830 BZX589830 BQB589830 BGF589830 AWJ589830 AMN589830 ACR589830 SV589830 IZ589830 D589830 WVL524294 WLP524294 WBT524294 VRX524294 VIB524294 UYF524294 UOJ524294 UEN524294 TUR524294 TKV524294 TAZ524294 SRD524294 SHH524294 RXL524294 RNP524294 RDT524294 QTX524294 QKB524294 QAF524294 PQJ524294 PGN524294 OWR524294 OMV524294 OCZ524294 NTD524294 NJH524294 MZL524294 MPP524294 MFT524294 LVX524294 LMB524294 LCF524294 KSJ524294 KIN524294 JYR524294 JOV524294 JEZ524294 IVD524294 ILH524294 IBL524294 HRP524294 HHT524294 GXX524294 GOB524294 GEF524294 FUJ524294 FKN524294 FAR524294 EQV524294 EGZ524294 DXD524294 DNH524294 DDL524294 CTP524294 CJT524294 BZX524294 BQB524294 BGF524294 AWJ524294 AMN524294 ACR524294 SV524294 IZ524294 D524294 WVL458758 WLP458758 WBT458758 VRX458758 VIB458758 UYF458758 UOJ458758 UEN458758 TUR458758 TKV458758 TAZ458758 SRD458758 SHH458758 RXL458758 RNP458758 RDT458758 QTX458758 QKB458758 QAF458758 PQJ458758 PGN458758 OWR458758 OMV458758 OCZ458758 NTD458758 NJH458758 MZL458758 MPP458758 MFT458758 LVX458758 LMB458758 LCF458758 KSJ458758 KIN458758 JYR458758 JOV458758 JEZ458758 IVD458758 ILH458758 IBL458758 HRP458758 HHT458758 GXX458758 GOB458758 GEF458758 FUJ458758 FKN458758 FAR458758 EQV458758 EGZ458758 DXD458758 DNH458758 DDL458758 CTP458758 CJT458758 BZX458758 BQB458758 BGF458758 AWJ458758 AMN458758 ACR458758 SV458758 IZ458758 D458758 WVL393222 WLP393222 WBT393222 VRX393222 VIB393222 UYF393222 UOJ393222 UEN393222 TUR393222 TKV393222 TAZ393222 SRD393222 SHH393222 RXL393222 RNP393222 RDT393222 QTX393222 QKB393222 QAF393222 PQJ393222 PGN393222 OWR393222 OMV393222 OCZ393222 NTD393222 NJH393222 MZL393222 MPP393222 MFT393222 LVX393222 LMB393222 LCF393222 KSJ393222 KIN393222 JYR393222 JOV393222 JEZ393222 IVD393222 ILH393222 IBL393222 HRP393222 HHT393222 GXX393222 GOB393222 GEF393222 FUJ393222 FKN393222 FAR393222 EQV393222 EGZ393222 DXD393222 DNH393222 DDL393222 CTP393222 CJT393222 BZX393222 BQB393222 BGF393222 AWJ393222 AMN393222 ACR393222 SV393222 IZ393222 D393222 WVL327686 WLP327686 WBT327686 VRX327686 VIB327686 UYF327686 UOJ327686 UEN327686 TUR327686 TKV327686 TAZ327686 SRD327686 SHH327686 RXL327686 RNP327686 RDT327686 QTX327686 QKB327686 QAF327686 PQJ327686 PGN327686 OWR327686 OMV327686 OCZ327686 NTD327686 NJH327686 MZL327686 MPP327686 MFT327686 LVX327686 LMB327686 LCF327686 KSJ327686 KIN327686 JYR327686 JOV327686 JEZ327686 IVD327686 ILH327686 IBL327686 HRP327686 HHT327686 GXX327686 GOB327686 GEF327686 FUJ327686 FKN327686 FAR327686 EQV327686 EGZ327686 DXD327686 DNH327686 DDL327686 CTP327686 CJT327686 BZX327686 BQB327686 BGF327686 AWJ327686 AMN327686 ACR327686 SV327686 IZ327686 D327686 WVL262150 WLP262150 WBT262150 VRX262150 VIB262150 UYF262150 UOJ262150 UEN262150 TUR262150 TKV262150 TAZ262150 SRD262150 SHH262150 RXL262150 RNP262150 RDT262150 QTX262150 QKB262150 QAF262150 PQJ262150 PGN262150 OWR262150 OMV262150 OCZ262150 NTD262150 NJH262150 MZL262150 MPP262150 MFT262150 LVX262150 LMB262150 LCF262150 KSJ262150 KIN262150 JYR262150 JOV262150 JEZ262150 IVD262150 ILH262150 IBL262150 HRP262150 HHT262150 GXX262150 GOB262150 GEF262150 FUJ262150 FKN262150 FAR262150 EQV262150 EGZ262150 DXD262150 DNH262150 DDL262150 CTP262150 CJT262150 BZX262150 BQB262150 BGF262150 AWJ262150 AMN262150 ACR262150 SV262150 IZ262150 D262150 WVL196614 WLP196614 WBT196614 VRX196614 VIB196614 UYF196614 UOJ196614 UEN196614 TUR196614 TKV196614 TAZ196614 SRD196614 SHH196614 RXL196614 RNP196614 RDT196614 QTX196614 QKB196614 QAF196614 PQJ196614 PGN196614 OWR196614 OMV196614 OCZ196614 NTD196614 NJH196614 MZL196614 MPP196614 MFT196614 LVX196614 LMB196614 LCF196614 KSJ196614 KIN196614 JYR196614 JOV196614 JEZ196614 IVD196614 ILH196614 IBL196614 HRP196614 HHT196614 GXX196614 GOB196614 GEF196614 FUJ196614 FKN196614 FAR196614 EQV196614 EGZ196614 DXD196614 DNH196614 DDL196614 CTP196614 CJT196614 BZX196614 BQB196614 BGF196614 AWJ196614 AMN196614 ACR196614 SV196614 IZ196614 D196614 WVL131078 WLP131078 WBT131078 VRX131078 VIB131078 UYF131078 UOJ131078 UEN131078 TUR131078 TKV131078 TAZ131078 SRD131078 SHH131078 RXL131078 RNP131078 RDT131078 QTX131078 QKB131078 QAF131078 PQJ131078 PGN131078 OWR131078 OMV131078 OCZ131078 NTD131078 NJH131078 MZL131078 MPP131078 MFT131078 LVX131078 LMB131078 LCF131078 KSJ131078 KIN131078 JYR131078 JOV131078 JEZ131078 IVD131078 ILH131078 IBL131078 HRP131078 HHT131078 GXX131078 GOB131078 GEF131078 FUJ131078 FKN131078 FAR131078 EQV131078 EGZ131078 DXD131078 DNH131078 DDL131078 CTP131078 CJT131078 BZX131078 BQB131078 BGF131078 AWJ131078 AMN131078 ACR131078 SV131078 IZ131078 D131078 WVL65542 WLP65542 WBT65542 VRX65542 VIB65542 UYF65542 UOJ65542 UEN65542 TUR65542 TKV65542 TAZ65542 SRD65542 SHH65542 RXL65542 RNP65542 RDT65542 QTX65542 QKB65542 QAF65542 PQJ65542 PGN65542 OWR65542 OMV65542 OCZ65542 NTD65542 NJH65542 MZL65542 MPP65542 MFT65542 LVX65542 LMB65542 LCF65542 KSJ65542 KIN65542 JYR65542 JOV65542 JEZ65542 IVD65542 ILH65542 IBL65542 HRP65542 HHT65542 GXX65542 GOB65542 GEF65542 FUJ65542 FKN65542 FAR65542 EQV65542 EGZ65542 DXD65542 DNH65542 DDL65542 CTP65542 CJT65542 BZX65542 BQB65542 BGF65542 AWJ65542 AMN65542 ACR65542 SV65542 IZ65542 D65542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IZ5">
      <formula1>"&lt;75,76-150,151-350,&gt;350"</formula1>
      <formula2>0</formula2>
    </dataValidation>
    <dataValidation type="list" allowBlank="1" showInputMessage="1" showErrorMessage="1" sqref="B6">
      <formula1>"LT Enh, LT Enh Bundled, LT Pack, LT Pack Bundled"</formula1>
    </dataValidation>
    <dataValidation type="list" operator="equal" allowBlank="1" showErrorMessage="1" sqref="D6">
      <formula1>"0,20,25,35,45,50"</formula1>
      <formula2>0</formula2>
    </dataValidation>
    <dataValidation type="list" operator="equal" allowBlank="1" showErrorMessage="1" sqref="F6:F8 B8">
      <formula1>"Yes,No"</formula1>
      <formula2>0</formula2>
    </dataValidation>
    <dataValidation type="list" allowBlank="1" showInputMessage="1" showErrorMessage="1" sqref="F2">
      <formula1>"Battery, Others"</formula1>
    </dataValidation>
  </dataValidations>
  <hyperlinks>
    <hyperlink ref="H1" location="Motor Home Page!a1" display="Motor Home Page"/>
  </hyperlinks>
  <pageMargins left="0.78740157480314965" right="0.78740157480314965" top="1.0236220472440944" bottom="1.0236220472440944" header="0.78740157480314965" footer="0.78740157480314965"/>
  <pageSetup paperSize="9" scale="70" firstPageNumber="0" orientation="landscape" horizontalDpi="300" verticalDpi="300" r:id="rId1"/>
  <headerFooter alignWithMargins="0">
    <oddHeader>&amp;CDesigned By Prashanth Komarraju</oddHeader>
    <oddFooter>&amp;CPage &amp;P</oddFooter>
  </headerFooter>
  <rowBreaks count="1" manualBreakCount="1">
    <brk id="26" max="16383" man="1"/>
  </rowBreaks>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80"/>
  <sheetViews>
    <sheetView zoomScaleNormal="100" zoomScaleSheetLayoutView="51" workbookViewId="0">
      <pane ySplit="5" topLeftCell="A9" activePane="bottomLeft" state="frozen"/>
      <selection pane="bottomLeft" activeCell="C21" sqref="C21"/>
    </sheetView>
  </sheetViews>
  <sheetFormatPr defaultColWidth="9.42578125" defaultRowHeight="15"/>
  <cols>
    <col min="1" max="1" width="30.7109375" style="5" customWidth="1"/>
    <col min="2" max="2" width="13.7109375" style="5" customWidth="1"/>
    <col min="3" max="3" width="29.42578125" style="5" customWidth="1"/>
    <col min="4" max="4" width="10.140625" style="5" customWidth="1"/>
    <col min="5" max="5" width="32.42578125" style="5" customWidth="1"/>
    <col min="6" max="6" width="11.28515625" style="5" customWidth="1"/>
    <col min="7" max="7" width="4" style="5" customWidth="1"/>
    <col min="8" max="8" width="20.140625" style="5" customWidth="1"/>
    <col min="9" max="9" width="8" style="5" customWidth="1"/>
    <col min="10" max="10" width="24.42578125" style="5" customWidth="1"/>
    <col min="11" max="68" width="9.42578125" style="5"/>
    <col min="69" max="69" width="12.5703125" style="5" customWidth="1"/>
    <col min="70" max="70" width="12.7109375" style="5" customWidth="1"/>
    <col min="71" max="71" width="15.5703125" style="5" customWidth="1"/>
    <col min="72" max="72" width="11.85546875" style="5" customWidth="1"/>
    <col min="73" max="73" width="12.42578125" style="5" customWidth="1"/>
    <col min="74" max="74" width="12" style="5" customWidth="1"/>
    <col min="75" max="256" width="9.42578125" style="5"/>
    <col min="257" max="257" width="25.85546875" style="5" customWidth="1"/>
    <col min="258" max="258" width="13.7109375" style="5" customWidth="1"/>
    <col min="259" max="259" width="28.28515625" style="5" customWidth="1"/>
    <col min="260" max="260" width="10.140625" style="5" customWidth="1"/>
    <col min="261" max="261" width="32.42578125" style="5" customWidth="1"/>
    <col min="262" max="262" width="11.28515625" style="5" customWidth="1"/>
    <col min="263" max="263" width="4" style="5" customWidth="1"/>
    <col min="264" max="264" width="20.140625" style="5" customWidth="1"/>
    <col min="265" max="265" width="8" style="5" customWidth="1"/>
    <col min="266" max="266" width="24.42578125" style="5" customWidth="1"/>
    <col min="267" max="324" width="9.42578125" style="5"/>
    <col min="325" max="325" width="12.5703125" style="5" customWidth="1"/>
    <col min="326" max="326" width="12.7109375" style="5" customWidth="1"/>
    <col min="327" max="327" width="15.5703125" style="5" customWidth="1"/>
    <col min="328" max="328" width="11.85546875" style="5" customWidth="1"/>
    <col min="329" max="329" width="12.42578125" style="5" customWidth="1"/>
    <col min="330" max="330" width="12" style="5" customWidth="1"/>
    <col min="331" max="512" width="9.42578125" style="5"/>
    <col min="513" max="513" width="25.85546875" style="5" customWidth="1"/>
    <col min="514" max="514" width="13.7109375" style="5" customWidth="1"/>
    <col min="515" max="515" width="28.28515625" style="5" customWidth="1"/>
    <col min="516" max="516" width="10.140625" style="5" customWidth="1"/>
    <col min="517" max="517" width="32.42578125" style="5" customWidth="1"/>
    <col min="518" max="518" width="11.28515625" style="5" customWidth="1"/>
    <col min="519" max="519" width="4" style="5" customWidth="1"/>
    <col min="520" max="520" width="20.140625" style="5" customWidth="1"/>
    <col min="521" max="521" width="8" style="5" customWidth="1"/>
    <col min="522" max="522" width="24.42578125" style="5" customWidth="1"/>
    <col min="523" max="580" width="9.42578125" style="5"/>
    <col min="581" max="581" width="12.5703125" style="5" customWidth="1"/>
    <col min="582" max="582" width="12.7109375" style="5" customWidth="1"/>
    <col min="583" max="583" width="15.5703125" style="5" customWidth="1"/>
    <col min="584" max="584" width="11.85546875" style="5" customWidth="1"/>
    <col min="585" max="585" width="12.42578125" style="5" customWidth="1"/>
    <col min="586" max="586" width="12" style="5" customWidth="1"/>
    <col min="587" max="768" width="9.42578125" style="5"/>
    <col min="769" max="769" width="25.85546875" style="5" customWidth="1"/>
    <col min="770" max="770" width="13.7109375" style="5" customWidth="1"/>
    <col min="771" max="771" width="28.28515625" style="5" customWidth="1"/>
    <col min="772" max="772" width="10.140625" style="5" customWidth="1"/>
    <col min="773" max="773" width="32.42578125" style="5" customWidth="1"/>
    <col min="774" max="774" width="11.28515625" style="5" customWidth="1"/>
    <col min="775" max="775" width="4" style="5" customWidth="1"/>
    <col min="776" max="776" width="20.140625" style="5" customWidth="1"/>
    <col min="777" max="777" width="8" style="5" customWidth="1"/>
    <col min="778" max="778" width="24.42578125" style="5" customWidth="1"/>
    <col min="779" max="836" width="9.42578125" style="5"/>
    <col min="837" max="837" width="12.5703125" style="5" customWidth="1"/>
    <col min="838" max="838" width="12.7109375" style="5" customWidth="1"/>
    <col min="839" max="839" width="15.5703125" style="5" customWidth="1"/>
    <col min="840" max="840" width="11.85546875" style="5" customWidth="1"/>
    <col min="841" max="841" width="12.42578125" style="5" customWidth="1"/>
    <col min="842" max="842" width="12" style="5" customWidth="1"/>
    <col min="843" max="1024" width="9.42578125" style="5"/>
    <col min="1025" max="1025" width="25.85546875" style="5" customWidth="1"/>
    <col min="1026" max="1026" width="13.7109375" style="5" customWidth="1"/>
    <col min="1027" max="1027" width="28.28515625" style="5" customWidth="1"/>
    <col min="1028" max="1028" width="10.140625" style="5" customWidth="1"/>
    <col min="1029" max="1029" width="32.42578125" style="5" customWidth="1"/>
    <col min="1030" max="1030" width="11.28515625" style="5" customWidth="1"/>
    <col min="1031" max="1031" width="4" style="5" customWidth="1"/>
    <col min="1032" max="1032" width="20.140625" style="5" customWidth="1"/>
    <col min="1033" max="1033" width="8" style="5" customWidth="1"/>
    <col min="1034" max="1034" width="24.42578125" style="5" customWidth="1"/>
    <col min="1035" max="1092" width="9.42578125" style="5"/>
    <col min="1093" max="1093" width="12.5703125" style="5" customWidth="1"/>
    <col min="1094" max="1094" width="12.7109375" style="5" customWidth="1"/>
    <col min="1095" max="1095" width="15.5703125" style="5" customWidth="1"/>
    <col min="1096" max="1096" width="11.85546875" style="5" customWidth="1"/>
    <col min="1097" max="1097" width="12.42578125" style="5" customWidth="1"/>
    <col min="1098" max="1098" width="12" style="5" customWidth="1"/>
    <col min="1099" max="1280" width="9.42578125" style="5"/>
    <col min="1281" max="1281" width="25.85546875" style="5" customWidth="1"/>
    <col min="1282" max="1282" width="13.7109375" style="5" customWidth="1"/>
    <col min="1283" max="1283" width="28.28515625" style="5" customWidth="1"/>
    <col min="1284" max="1284" width="10.140625" style="5" customWidth="1"/>
    <col min="1285" max="1285" width="32.42578125" style="5" customWidth="1"/>
    <col min="1286" max="1286" width="11.28515625" style="5" customWidth="1"/>
    <col min="1287" max="1287" width="4" style="5" customWidth="1"/>
    <col min="1288" max="1288" width="20.140625" style="5" customWidth="1"/>
    <col min="1289" max="1289" width="8" style="5" customWidth="1"/>
    <col min="1290" max="1290" width="24.42578125" style="5" customWidth="1"/>
    <col min="1291" max="1348" width="9.42578125" style="5"/>
    <col min="1349" max="1349" width="12.5703125" style="5" customWidth="1"/>
    <col min="1350" max="1350" width="12.7109375" style="5" customWidth="1"/>
    <col min="1351" max="1351" width="15.5703125" style="5" customWidth="1"/>
    <col min="1352" max="1352" width="11.85546875" style="5" customWidth="1"/>
    <col min="1353" max="1353" width="12.42578125" style="5" customWidth="1"/>
    <col min="1354" max="1354" width="12" style="5" customWidth="1"/>
    <col min="1355" max="1536" width="9.42578125" style="5"/>
    <col min="1537" max="1537" width="25.85546875" style="5" customWidth="1"/>
    <col min="1538" max="1538" width="13.7109375" style="5" customWidth="1"/>
    <col min="1539" max="1539" width="28.28515625" style="5" customWidth="1"/>
    <col min="1540" max="1540" width="10.140625" style="5" customWidth="1"/>
    <col min="1541" max="1541" width="32.42578125" style="5" customWidth="1"/>
    <col min="1542" max="1542" width="11.28515625" style="5" customWidth="1"/>
    <col min="1543" max="1543" width="4" style="5" customWidth="1"/>
    <col min="1544" max="1544" width="20.140625" style="5" customWidth="1"/>
    <col min="1545" max="1545" width="8" style="5" customWidth="1"/>
    <col min="1546" max="1546" width="24.42578125" style="5" customWidth="1"/>
    <col min="1547" max="1604" width="9.42578125" style="5"/>
    <col min="1605" max="1605" width="12.5703125" style="5" customWidth="1"/>
    <col min="1606" max="1606" width="12.7109375" style="5" customWidth="1"/>
    <col min="1607" max="1607" width="15.5703125" style="5" customWidth="1"/>
    <col min="1608" max="1608" width="11.85546875" style="5" customWidth="1"/>
    <col min="1609" max="1609" width="12.42578125" style="5" customWidth="1"/>
    <col min="1610" max="1610" width="12" style="5" customWidth="1"/>
    <col min="1611" max="1792" width="9.42578125" style="5"/>
    <col min="1793" max="1793" width="25.85546875" style="5" customWidth="1"/>
    <col min="1794" max="1794" width="13.7109375" style="5" customWidth="1"/>
    <col min="1795" max="1795" width="28.28515625" style="5" customWidth="1"/>
    <col min="1796" max="1796" width="10.140625" style="5" customWidth="1"/>
    <col min="1797" max="1797" width="32.42578125" style="5" customWidth="1"/>
    <col min="1798" max="1798" width="11.28515625" style="5" customWidth="1"/>
    <col min="1799" max="1799" width="4" style="5" customWidth="1"/>
    <col min="1800" max="1800" width="20.140625" style="5" customWidth="1"/>
    <col min="1801" max="1801" width="8" style="5" customWidth="1"/>
    <col min="1802" max="1802" width="24.42578125" style="5" customWidth="1"/>
    <col min="1803" max="1860" width="9.42578125" style="5"/>
    <col min="1861" max="1861" width="12.5703125" style="5" customWidth="1"/>
    <col min="1862" max="1862" width="12.7109375" style="5" customWidth="1"/>
    <col min="1863" max="1863" width="15.5703125" style="5" customWidth="1"/>
    <col min="1864" max="1864" width="11.85546875" style="5" customWidth="1"/>
    <col min="1865" max="1865" width="12.42578125" style="5" customWidth="1"/>
    <col min="1866" max="1866" width="12" style="5" customWidth="1"/>
    <col min="1867" max="2048" width="9.42578125" style="5"/>
    <col min="2049" max="2049" width="25.85546875" style="5" customWidth="1"/>
    <col min="2050" max="2050" width="13.7109375" style="5" customWidth="1"/>
    <col min="2051" max="2051" width="28.28515625" style="5" customWidth="1"/>
    <col min="2052" max="2052" width="10.140625" style="5" customWidth="1"/>
    <col min="2053" max="2053" width="32.42578125" style="5" customWidth="1"/>
    <col min="2054" max="2054" width="11.28515625" style="5" customWidth="1"/>
    <col min="2055" max="2055" width="4" style="5" customWidth="1"/>
    <col min="2056" max="2056" width="20.140625" style="5" customWidth="1"/>
    <col min="2057" max="2057" width="8" style="5" customWidth="1"/>
    <col min="2058" max="2058" width="24.42578125" style="5" customWidth="1"/>
    <col min="2059" max="2116" width="9.42578125" style="5"/>
    <col min="2117" max="2117" width="12.5703125" style="5" customWidth="1"/>
    <col min="2118" max="2118" width="12.7109375" style="5" customWidth="1"/>
    <col min="2119" max="2119" width="15.5703125" style="5" customWidth="1"/>
    <col min="2120" max="2120" width="11.85546875" style="5" customWidth="1"/>
    <col min="2121" max="2121" width="12.42578125" style="5" customWidth="1"/>
    <col min="2122" max="2122" width="12" style="5" customWidth="1"/>
    <col min="2123" max="2304" width="9.42578125" style="5"/>
    <col min="2305" max="2305" width="25.85546875" style="5" customWidth="1"/>
    <col min="2306" max="2306" width="13.7109375" style="5" customWidth="1"/>
    <col min="2307" max="2307" width="28.28515625" style="5" customWidth="1"/>
    <col min="2308" max="2308" width="10.140625" style="5" customWidth="1"/>
    <col min="2309" max="2309" width="32.42578125" style="5" customWidth="1"/>
    <col min="2310" max="2310" width="11.28515625" style="5" customWidth="1"/>
    <col min="2311" max="2311" width="4" style="5" customWidth="1"/>
    <col min="2312" max="2312" width="20.140625" style="5" customWidth="1"/>
    <col min="2313" max="2313" width="8" style="5" customWidth="1"/>
    <col min="2314" max="2314" width="24.42578125" style="5" customWidth="1"/>
    <col min="2315" max="2372" width="9.42578125" style="5"/>
    <col min="2373" max="2373" width="12.5703125" style="5" customWidth="1"/>
    <col min="2374" max="2374" width="12.7109375" style="5" customWidth="1"/>
    <col min="2375" max="2375" width="15.5703125" style="5" customWidth="1"/>
    <col min="2376" max="2376" width="11.85546875" style="5" customWidth="1"/>
    <col min="2377" max="2377" width="12.42578125" style="5" customWidth="1"/>
    <col min="2378" max="2378" width="12" style="5" customWidth="1"/>
    <col min="2379" max="2560" width="9.42578125" style="5"/>
    <col min="2561" max="2561" width="25.85546875" style="5" customWidth="1"/>
    <col min="2562" max="2562" width="13.7109375" style="5" customWidth="1"/>
    <col min="2563" max="2563" width="28.28515625" style="5" customWidth="1"/>
    <col min="2564" max="2564" width="10.140625" style="5" customWidth="1"/>
    <col min="2565" max="2565" width="32.42578125" style="5" customWidth="1"/>
    <col min="2566" max="2566" width="11.28515625" style="5" customWidth="1"/>
    <col min="2567" max="2567" width="4" style="5" customWidth="1"/>
    <col min="2568" max="2568" width="20.140625" style="5" customWidth="1"/>
    <col min="2569" max="2569" width="8" style="5" customWidth="1"/>
    <col min="2570" max="2570" width="24.42578125" style="5" customWidth="1"/>
    <col min="2571" max="2628" width="9.42578125" style="5"/>
    <col min="2629" max="2629" width="12.5703125" style="5" customWidth="1"/>
    <col min="2630" max="2630" width="12.7109375" style="5" customWidth="1"/>
    <col min="2631" max="2631" width="15.5703125" style="5" customWidth="1"/>
    <col min="2632" max="2632" width="11.85546875" style="5" customWidth="1"/>
    <col min="2633" max="2633" width="12.42578125" style="5" customWidth="1"/>
    <col min="2634" max="2634" width="12" style="5" customWidth="1"/>
    <col min="2635" max="2816" width="9.42578125" style="5"/>
    <col min="2817" max="2817" width="25.85546875" style="5" customWidth="1"/>
    <col min="2818" max="2818" width="13.7109375" style="5" customWidth="1"/>
    <col min="2819" max="2819" width="28.28515625" style="5" customWidth="1"/>
    <col min="2820" max="2820" width="10.140625" style="5" customWidth="1"/>
    <col min="2821" max="2821" width="32.42578125" style="5" customWidth="1"/>
    <col min="2822" max="2822" width="11.28515625" style="5" customWidth="1"/>
    <col min="2823" max="2823" width="4" style="5" customWidth="1"/>
    <col min="2824" max="2824" width="20.140625" style="5" customWidth="1"/>
    <col min="2825" max="2825" width="8" style="5" customWidth="1"/>
    <col min="2826" max="2826" width="24.42578125" style="5" customWidth="1"/>
    <col min="2827" max="2884" width="9.42578125" style="5"/>
    <col min="2885" max="2885" width="12.5703125" style="5" customWidth="1"/>
    <col min="2886" max="2886" width="12.7109375" style="5" customWidth="1"/>
    <col min="2887" max="2887" width="15.5703125" style="5" customWidth="1"/>
    <col min="2888" max="2888" width="11.85546875" style="5" customWidth="1"/>
    <col min="2889" max="2889" width="12.42578125" style="5" customWidth="1"/>
    <col min="2890" max="2890" width="12" style="5" customWidth="1"/>
    <col min="2891" max="3072" width="9.42578125" style="5"/>
    <col min="3073" max="3073" width="25.85546875" style="5" customWidth="1"/>
    <col min="3074" max="3074" width="13.7109375" style="5" customWidth="1"/>
    <col min="3075" max="3075" width="28.28515625" style="5" customWidth="1"/>
    <col min="3076" max="3076" width="10.140625" style="5" customWidth="1"/>
    <col min="3077" max="3077" width="32.42578125" style="5" customWidth="1"/>
    <col min="3078" max="3078" width="11.28515625" style="5" customWidth="1"/>
    <col min="3079" max="3079" width="4" style="5" customWidth="1"/>
    <col min="3080" max="3080" width="20.140625" style="5" customWidth="1"/>
    <col min="3081" max="3081" width="8" style="5" customWidth="1"/>
    <col min="3082" max="3082" width="24.42578125" style="5" customWidth="1"/>
    <col min="3083" max="3140" width="9.42578125" style="5"/>
    <col min="3141" max="3141" width="12.5703125" style="5" customWidth="1"/>
    <col min="3142" max="3142" width="12.7109375" style="5" customWidth="1"/>
    <col min="3143" max="3143" width="15.5703125" style="5" customWidth="1"/>
    <col min="3144" max="3144" width="11.85546875" style="5" customWidth="1"/>
    <col min="3145" max="3145" width="12.42578125" style="5" customWidth="1"/>
    <col min="3146" max="3146" width="12" style="5" customWidth="1"/>
    <col min="3147" max="3328" width="9.42578125" style="5"/>
    <col min="3329" max="3329" width="25.85546875" style="5" customWidth="1"/>
    <col min="3330" max="3330" width="13.7109375" style="5" customWidth="1"/>
    <col min="3331" max="3331" width="28.28515625" style="5" customWidth="1"/>
    <col min="3332" max="3332" width="10.140625" style="5" customWidth="1"/>
    <col min="3333" max="3333" width="32.42578125" style="5" customWidth="1"/>
    <col min="3334" max="3334" width="11.28515625" style="5" customWidth="1"/>
    <col min="3335" max="3335" width="4" style="5" customWidth="1"/>
    <col min="3336" max="3336" width="20.140625" style="5" customWidth="1"/>
    <col min="3337" max="3337" width="8" style="5" customWidth="1"/>
    <col min="3338" max="3338" width="24.42578125" style="5" customWidth="1"/>
    <col min="3339" max="3396" width="9.42578125" style="5"/>
    <col min="3397" max="3397" width="12.5703125" style="5" customWidth="1"/>
    <col min="3398" max="3398" width="12.7109375" style="5" customWidth="1"/>
    <col min="3399" max="3399" width="15.5703125" style="5" customWidth="1"/>
    <col min="3400" max="3400" width="11.85546875" style="5" customWidth="1"/>
    <col min="3401" max="3401" width="12.42578125" style="5" customWidth="1"/>
    <col min="3402" max="3402" width="12" style="5" customWidth="1"/>
    <col min="3403" max="3584" width="9.42578125" style="5"/>
    <col min="3585" max="3585" width="25.85546875" style="5" customWidth="1"/>
    <col min="3586" max="3586" width="13.7109375" style="5" customWidth="1"/>
    <col min="3587" max="3587" width="28.28515625" style="5" customWidth="1"/>
    <col min="3588" max="3588" width="10.140625" style="5" customWidth="1"/>
    <col min="3589" max="3589" width="32.42578125" style="5" customWidth="1"/>
    <col min="3590" max="3590" width="11.28515625" style="5" customWidth="1"/>
    <col min="3591" max="3591" width="4" style="5" customWidth="1"/>
    <col min="3592" max="3592" width="20.140625" style="5" customWidth="1"/>
    <col min="3593" max="3593" width="8" style="5" customWidth="1"/>
    <col min="3594" max="3594" width="24.42578125" style="5" customWidth="1"/>
    <col min="3595" max="3652" width="9.42578125" style="5"/>
    <col min="3653" max="3653" width="12.5703125" style="5" customWidth="1"/>
    <col min="3654" max="3654" width="12.7109375" style="5" customWidth="1"/>
    <col min="3655" max="3655" width="15.5703125" style="5" customWidth="1"/>
    <col min="3656" max="3656" width="11.85546875" style="5" customWidth="1"/>
    <col min="3657" max="3657" width="12.42578125" style="5" customWidth="1"/>
    <col min="3658" max="3658" width="12" style="5" customWidth="1"/>
    <col min="3659" max="3840" width="9.42578125" style="5"/>
    <col min="3841" max="3841" width="25.85546875" style="5" customWidth="1"/>
    <col min="3842" max="3842" width="13.7109375" style="5" customWidth="1"/>
    <col min="3843" max="3843" width="28.28515625" style="5" customWidth="1"/>
    <col min="3844" max="3844" width="10.140625" style="5" customWidth="1"/>
    <col min="3845" max="3845" width="32.42578125" style="5" customWidth="1"/>
    <col min="3846" max="3846" width="11.28515625" style="5" customWidth="1"/>
    <col min="3847" max="3847" width="4" style="5" customWidth="1"/>
    <col min="3848" max="3848" width="20.140625" style="5" customWidth="1"/>
    <col min="3849" max="3849" width="8" style="5" customWidth="1"/>
    <col min="3850" max="3850" width="24.42578125" style="5" customWidth="1"/>
    <col min="3851" max="3908" width="9.42578125" style="5"/>
    <col min="3909" max="3909" width="12.5703125" style="5" customWidth="1"/>
    <col min="3910" max="3910" width="12.7109375" style="5" customWidth="1"/>
    <col min="3911" max="3911" width="15.5703125" style="5" customWidth="1"/>
    <col min="3912" max="3912" width="11.85546875" style="5" customWidth="1"/>
    <col min="3913" max="3913" width="12.42578125" style="5" customWidth="1"/>
    <col min="3914" max="3914" width="12" style="5" customWidth="1"/>
    <col min="3915" max="4096" width="9.42578125" style="5"/>
    <col min="4097" max="4097" width="25.85546875" style="5" customWidth="1"/>
    <col min="4098" max="4098" width="13.7109375" style="5" customWidth="1"/>
    <col min="4099" max="4099" width="28.28515625" style="5" customWidth="1"/>
    <col min="4100" max="4100" width="10.140625" style="5" customWidth="1"/>
    <col min="4101" max="4101" width="32.42578125" style="5" customWidth="1"/>
    <col min="4102" max="4102" width="11.28515625" style="5" customWidth="1"/>
    <col min="4103" max="4103" width="4" style="5" customWidth="1"/>
    <col min="4104" max="4104" width="20.140625" style="5" customWidth="1"/>
    <col min="4105" max="4105" width="8" style="5" customWidth="1"/>
    <col min="4106" max="4106" width="24.42578125" style="5" customWidth="1"/>
    <col min="4107" max="4164" width="9.42578125" style="5"/>
    <col min="4165" max="4165" width="12.5703125" style="5" customWidth="1"/>
    <col min="4166" max="4166" width="12.7109375" style="5" customWidth="1"/>
    <col min="4167" max="4167" width="15.5703125" style="5" customWidth="1"/>
    <col min="4168" max="4168" width="11.85546875" style="5" customWidth="1"/>
    <col min="4169" max="4169" width="12.42578125" style="5" customWidth="1"/>
    <col min="4170" max="4170" width="12" style="5" customWidth="1"/>
    <col min="4171" max="4352" width="9.42578125" style="5"/>
    <col min="4353" max="4353" width="25.85546875" style="5" customWidth="1"/>
    <col min="4354" max="4354" width="13.7109375" style="5" customWidth="1"/>
    <col min="4355" max="4355" width="28.28515625" style="5" customWidth="1"/>
    <col min="4356" max="4356" width="10.140625" style="5" customWidth="1"/>
    <col min="4357" max="4357" width="32.42578125" style="5" customWidth="1"/>
    <col min="4358" max="4358" width="11.28515625" style="5" customWidth="1"/>
    <col min="4359" max="4359" width="4" style="5" customWidth="1"/>
    <col min="4360" max="4360" width="20.140625" style="5" customWidth="1"/>
    <col min="4361" max="4361" width="8" style="5" customWidth="1"/>
    <col min="4362" max="4362" width="24.42578125" style="5" customWidth="1"/>
    <col min="4363" max="4420" width="9.42578125" style="5"/>
    <col min="4421" max="4421" width="12.5703125" style="5" customWidth="1"/>
    <col min="4422" max="4422" width="12.7109375" style="5" customWidth="1"/>
    <col min="4423" max="4423" width="15.5703125" style="5" customWidth="1"/>
    <col min="4424" max="4424" width="11.85546875" style="5" customWidth="1"/>
    <col min="4425" max="4425" width="12.42578125" style="5" customWidth="1"/>
    <col min="4426" max="4426" width="12" style="5" customWidth="1"/>
    <col min="4427" max="4608" width="9.42578125" style="5"/>
    <col min="4609" max="4609" width="25.85546875" style="5" customWidth="1"/>
    <col min="4610" max="4610" width="13.7109375" style="5" customWidth="1"/>
    <col min="4611" max="4611" width="28.28515625" style="5" customWidth="1"/>
    <col min="4612" max="4612" width="10.140625" style="5" customWidth="1"/>
    <col min="4613" max="4613" width="32.42578125" style="5" customWidth="1"/>
    <col min="4614" max="4614" width="11.28515625" style="5" customWidth="1"/>
    <col min="4615" max="4615" width="4" style="5" customWidth="1"/>
    <col min="4616" max="4616" width="20.140625" style="5" customWidth="1"/>
    <col min="4617" max="4617" width="8" style="5" customWidth="1"/>
    <col min="4618" max="4618" width="24.42578125" style="5" customWidth="1"/>
    <col min="4619" max="4676" width="9.42578125" style="5"/>
    <col min="4677" max="4677" width="12.5703125" style="5" customWidth="1"/>
    <col min="4678" max="4678" width="12.7109375" style="5" customWidth="1"/>
    <col min="4679" max="4679" width="15.5703125" style="5" customWidth="1"/>
    <col min="4680" max="4680" width="11.85546875" style="5" customWidth="1"/>
    <col min="4681" max="4681" width="12.42578125" style="5" customWidth="1"/>
    <col min="4682" max="4682" width="12" style="5" customWidth="1"/>
    <col min="4683" max="4864" width="9.42578125" style="5"/>
    <col min="4865" max="4865" width="25.85546875" style="5" customWidth="1"/>
    <col min="4866" max="4866" width="13.7109375" style="5" customWidth="1"/>
    <col min="4867" max="4867" width="28.28515625" style="5" customWidth="1"/>
    <col min="4868" max="4868" width="10.140625" style="5" customWidth="1"/>
    <col min="4869" max="4869" width="32.42578125" style="5" customWidth="1"/>
    <col min="4870" max="4870" width="11.28515625" style="5" customWidth="1"/>
    <col min="4871" max="4871" width="4" style="5" customWidth="1"/>
    <col min="4872" max="4872" width="20.140625" style="5" customWidth="1"/>
    <col min="4873" max="4873" width="8" style="5" customWidth="1"/>
    <col min="4874" max="4874" width="24.42578125" style="5" customWidth="1"/>
    <col min="4875" max="4932" width="9.42578125" style="5"/>
    <col min="4933" max="4933" width="12.5703125" style="5" customWidth="1"/>
    <col min="4934" max="4934" width="12.7109375" style="5" customWidth="1"/>
    <col min="4935" max="4935" width="15.5703125" style="5" customWidth="1"/>
    <col min="4936" max="4936" width="11.85546875" style="5" customWidth="1"/>
    <col min="4937" max="4937" width="12.42578125" style="5" customWidth="1"/>
    <col min="4938" max="4938" width="12" style="5" customWidth="1"/>
    <col min="4939" max="5120" width="9.42578125" style="5"/>
    <col min="5121" max="5121" width="25.85546875" style="5" customWidth="1"/>
    <col min="5122" max="5122" width="13.7109375" style="5" customWidth="1"/>
    <col min="5123" max="5123" width="28.28515625" style="5" customWidth="1"/>
    <col min="5124" max="5124" width="10.140625" style="5" customWidth="1"/>
    <col min="5125" max="5125" width="32.42578125" style="5" customWidth="1"/>
    <col min="5126" max="5126" width="11.28515625" style="5" customWidth="1"/>
    <col min="5127" max="5127" width="4" style="5" customWidth="1"/>
    <col min="5128" max="5128" width="20.140625" style="5" customWidth="1"/>
    <col min="5129" max="5129" width="8" style="5" customWidth="1"/>
    <col min="5130" max="5130" width="24.42578125" style="5" customWidth="1"/>
    <col min="5131" max="5188" width="9.42578125" style="5"/>
    <col min="5189" max="5189" width="12.5703125" style="5" customWidth="1"/>
    <col min="5190" max="5190" width="12.7109375" style="5" customWidth="1"/>
    <col min="5191" max="5191" width="15.5703125" style="5" customWidth="1"/>
    <col min="5192" max="5192" width="11.85546875" style="5" customWidth="1"/>
    <col min="5193" max="5193" width="12.42578125" style="5" customWidth="1"/>
    <col min="5194" max="5194" width="12" style="5" customWidth="1"/>
    <col min="5195" max="5376" width="9.42578125" style="5"/>
    <col min="5377" max="5377" width="25.85546875" style="5" customWidth="1"/>
    <col min="5378" max="5378" width="13.7109375" style="5" customWidth="1"/>
    <col min="5379" max="5379" width="28.28515625" style="5" customWidth="1"/>
    <col min="5380" max="5380" width="10.140625" style="5" customWidth="1"/>
    <col min="5381" max="5381" width="32.42578125" style="5" customWidth="1"/>
    <col min="5382" max="5382" width="11.28515625" style="5" customWidth="1"/>
    <col min="5383" max="5383" width="4" style="5" customWidth="1"/>
    <col min="5384" max="5384" width="20.140625" style="5" customWidth="1"/>
    <col min="5385" max="5385" width="8" style="5" customWidth="1"/>
    <col min="5386" max="5386" width="24.42578125" style="5" customWidth="1"/>
    <col min="5387" max="5444" width="9.42578125" style="5"/>
    <col min="5445" max="5445" width="12.5703125" style="5" customWidth="1"/>
    <col min="5446" max="5446" width="12.7109375" style="5" customWidth="1"/>
    <col min="5447" max="5447" width="15.5703125" style="5" customWidth="1"/>
    <col min="5448" max="5448" width="11.85546875" style="5" customWidth="1"/>
    <col min="5449" max="5449" width="12.42578125" style="5" customWidth="1"/>
    <col min="5450" max="5450" width="12" style="5" customWidth="1"/>
    <col min="5451" max="5632" width="9.42578125" style="5"/>
    <col min="5633" max="5633" width="25.85546875" style="5" customWidth="1"/>
    <col min="5634" max="5634" width="13.7109375" style="5" customWidth="1"/>
    <col min="5635" max="5635" width="28.28515625" style="5" customWidth="1"/>
    <col min="5636" max="5636" width="10.140625" style="5" customWidth="1"/>
    <col min="5637" max="5637" width="32.42578125" style="5" customWidth="1"/>
    <col min="5638" max="5638" width="11.28515625" style="5" customWidth="1"/>
    <col min="5639" max="5639" width="4" style="5" customWidth="1"/>
    <col min="5640" max="5640" width="20.140625" style="5" customWidth="1"/>
    <col min="5641" max="5641" width="8" style="5" customWidth="1"/>
    <col min="5642" max="5642" width="24.42578125" style="5" customWidth="1"/>
    <col min="5643" max="5700" width="9.42578125" style="5"/>
    <col min="5701" max="5701" width="12.5703125" style="5" customWidth="1"/>
    <col min="5702" max="5702" width="12.7109375" style="5" customWidth="1"/>
    <col min="5703" max="5703" width="15.5703125" style="5" customWidth="1"/>
    <col min="5704" max="5704" width="11.85546875" style="5" customWidth="1"/>
    <col min="5705" max="5705" width="12.42578125" style="5" customWidth="1"/>
    <col min="5706" max="5706" width="12" style="5" customWidth="1"/>
    <col min="5707" max="5888" width="9.42578125" style="5"/>
    <col min="5889" max="5889" width="25.85546875" style="5" customWidth="1"/>
    <col min="5890" max="5890" width="13.7109375" style="5" customWidth="1"/>
    <col min="5891" max="5891" width="28.28515625" style="5" customWidth="1"/>
    <col min="5892" max="5892" width="10.140625" style="5" customWidth="1"/>
    <col min="5893" max="5893" width="32.42578125" style="5" customWidth="1"/>
    <col min="5894" max="5894" width="11.28515625" style="5" customWidth="1"/>
    <col min="5895" max="5895" width="4" style="5" customWidth="1"/>
    <col min="5896" max="5896" width="20.140625" style="5" customWidth="1"/>
    <col min="5897" max="5897" width="8" style="5" customWidth="1"/>
    <col min="5898" max="5898" width="24.42578125" style="5" customWidth="1"/>
    <col min="5899" max="5956" width="9.42578125" style="5"/>
    <col min="5957" max="5957" width="12.5703125" style="5" customWidth="1"/>
    <col min="5958" max="5958" width="12.7109375" style="5" customWidth="1"/>
    <col min="5959" max="5959" width="15.5703125" style="5" customWidth="1"/>
    <col min="5960" max="5960" width="11.85546875" style="5" customWidth="1"/>
    <col min="5961" max="5961" width="12.42578125" style="5" customWidth="1"/>
    <col min="5962" max="5962" width="12" style="5" customWidth="1"/>
    <col min="5963" max="6144" width="9.42578125" style="5"/>
    <col min="6145" max="6145" width="25.85546875" style="5" customWidth="1"/>
    <col min="6146" max="6146" width="13.7109375" style="5" customWidth="1"/>
    <col min="6147" max="6147" width="28.28515625" style="5" customWidth="1"/>
    <col min="6148" max="6148" width="10.140625" style="5" customWidth="1"/>
    <col min="6149" max="6149" width="32.42578125" style="5" customWidth="1"/>
    <col min="6150" max="6150" width="11.28515625" style="5" customWidth="1"/>
    <col min="6151" max="6151" width="4" style="5" customWidth="1"/>
    <col min="6152" max="6152" width="20.140625" style="5" customWidth="1"/>
    <col min="6153" max="6153" width="8" style="5" customWidth="1"/>
    <col min="6154" max="6154" width="24.42578125" style="5" customWidth="1"/>
    <col min="6155" max="6212" width="9.42578125" style="5"/>
    <col min="6213" max="6213" width="12.5703125" style="5" customWidth="1"/>
    <col min="6214" max="6214" width="12.7109375" style="5" customWidth="1"/>
    <col min="6215" max="6215" width="15.5703125" style="5" customWidth="1"/>
    <col min="6216" max="6216" width="11.85546875" style="5" customWidth="1"/>
    <col min="6217" max="6217" width="12.42578125" style="5" customWidth="1"/>
    <col min="6218" max="6218" width="12" style="5" customWidth="1"/>
    <col min="6219" max="6400" width="9.42578125" style="5"/>
    <col min="6401" max="6401" width="25.85546875" style="5" customWidth="1"/>
    <col min="6402" max="6402" width="13.7109375" style="5" customWidth="1"/>
    <col min="6403" max="6403" width="28.28515625" style="5" customWidth="1"/>
    <col min="6404" max="6404" width="10.140625" style="5" customWidth="1"/>
    <col min="6405" max="6405" width="32.42578125" style="5" customWidth="1"/>
    <col min="6406" max="6406" width="11.28515625" style="5" customWidth="1"/>
    <col min="6407" max="6407" width="4" style="5" customWidth="1"/>
    <col min="6408" max="6408" width="20.140625" style="5" customWidth="1"/>
    <col min="6409" max="6409" width="8" style="5" customWidth="1"/>
    <col min="6410" max="6410" width="24.42578125" style="5" customWidth="1"/>
    <col min="6411" max="6468" width="9.42578125" style="5"/>
    <col min="6469" max="6469" width="12.5703125" style="5" customWidth="1"/>
    <col min="6470" max="6470" width="12.7109375" style="5" customWidth="1"/>
    <col min="6471" max="6471" width="15.5703125" style="5" customWidth="1"/>
    <col min="6472" max="6472" width="11.85546875" style="5" customWidth="1"/>
    <col min="6473" max="6473" width="12.42578125" style="5" customWidth="1"/>
    <col min="6474" max="6474" width="12" style="5" customWidth="1"/>
    <col min="6475" max="6656" width="9.42578125" style="5"/>
    <col min="6657" max="6657" width="25.85546875" style="5" customWidth="1"/>
    <col min="6658" max="6658" width="13.7109375" style="5" customWidth="1"/>
    <col min="6659" max="6659" width="28.28515625" style="5" customWidth="1"/>
    <col min="6660" max="6660" width="10.140625" style="5" customWidth="1"/>
    <col min="6661" max="6661" width="32.42578125" style="5" customWidth="1"/>
    <col min="6662" max="6662" width="11.28515625" style="5" customWidth="1"/>
    <col min="6663" max="6663" width="4" style="5" customWidth="1"/>
    <col min="6664" max="6664" width="20.140625" style="5" customWidth="1"/>
    <col min="6665" max="6665" width="8" style="5" customWidth="1"/>
    <col min="6666" max="6666" width="24.42578125" style="5" customWidth="1"/>
    <col min="6667" max="6724" width="9.42578125" style="5"/>
    <col min="6725" max="6725" width="12.5703125" style="5" customWidth="1"/>
    <col min="6726" max="6726" width="12.7109375" style="5" customWidth="1"/>
    <col min="6727" max="6727" width="15.5703125" style="5" customWidth="1"/>
    <col min="6728" max="6728" width="11.85546875" style="5" customWidth="1"/>
    <col min="6729" max="6729" width="12.42578125" style="5" customWidth="1"/>
    <col min="6730" max="6730" width="12" style="5" customWidth="1"/>
    <col min="6731" max="6912" width="9.42578125" style="5"/>
    <col min="6913" max="6913" width="25.85546875" style="5" customWidth="1"/>
    <col min="6914" max="6914" width="13.7109375" style="5" customWidth="1"/>
    <col min="6915" max="6915" width="28.28515625" style="5" customWidth="1"/>
    <col min="6916" max="6916" width="10.140625" style="5" customWidth="1"/>
    <col min="6917" max="6917" width="32.42578125" style="5" customWidth="1"/>
    <col min="6918" max="6918" width="11.28515625" style="5" customWidth="1"/>
    <col min="6919" max="6919" width="4" style="5" customWidth="1"/>
    <col min="6920" max="6920" width="20.140625" style="5" customWidth="1"/>
    <col min="6921" max="6921" width="8" style="5" customWidth="1"/>
    <col min="6922" max="6922" width="24.42578125" style="5" customWidth="1"/>
    <col min="6923" max="6980" width="9.42578125" style="5"/>
    <col min="6981" max="6981" width="12.5703125" style="5" customWidth="1"/>
    <col min="6982" max="6982" width="12.7109375" style="5" customWidth="1"/>
    <col min="6983" max="6983" width="15.5703125" style="5" customWidth="1"/>
    <col min="6984" max="6984" width="11.85546875" style="5" customWidth="1"/>
    <col min="6985" max="6985" width="12.42578125" style="5" customWidth="1"/>
    <col min="6986" max="6986" width="12" style="5" customWidth="1"/>
    <col min="6987" max="7168" width="9.42578125" style="5"/>
    <col min="7169" max="7169" width="25.85546875" style="5" customWidth="1"/>
    <col min="7170" max="7170" width="13.7109375" style="5" customWidth="1"/>
    <col min="7171" max="7171" width="28.28515625" style="5" customWidth="1"/>
    <col min="7172" max="7172" width="10.140625" style="5" customWidth="1"/>
    <col min="7173" max="7173" width="32.42578125" style="5" customWidth="1"/>
    <col min="7174" max="7174" width="11.28515625" style="5" customWidth="1"/>
    <col min="7175" max="7175" width="4" style="5" customWidth="1"/>
    <col min="7176" max="7176" width="20.140625" style="5" customWidth="1"/>
    <col min="7177" max="7177" width="8" style="5" customWidth="1"/>
    <col min="7178" max="7178" width="24.42578125" style="5" customWidth="1"/>
    <col min="7179" max="7236" width="9.42578125" style="5"/>
    <col min="7237" max="7237" width="12.5703125" style="5" customWidth="1"/>
    <col min="7238" max="7238" width="12.7109375" style="5" customWidth="1"/>
    <col min="7239" max="7239" width="15.5703125" style="5" customWidth="1"/>
    <col min="7240" max="7240" width="11.85546875" style="5" customWidth="1"/>
    <col min="7241" max="7241" width="12.42578125" style="5" customWidth="1"/>
    <col min="7242" max="7242" width="12" style="5" customWidth="1"/>
    <col min="7243" max="7424" width="9.42578125" style="5"/>
    <col min="7425" max="7425" width="25.85546875" style="5" customWidth="1"/>
    <col min="7426" max="7426" width="13.7109375" style="5" customWidth="1"/>
    <col min="7427" max="7427" width="28.28515625" style="5" customWidth="1"/>
    <col min="7428" max="7428" width="10.140625" style="5" customWidth="1"/>
    <col min="7429" max="7429" width="32.42578125" style="5" customWidth="1"/>
    <col min="7430" max="7430" width="11.28515625" style="5" customWidth="1"/>
    <col min="7431" max="7431" width="4" style="5" customWidth="1"/>
    <col min="7432" max="7432" width="20.140625" style="5" customWidth="1"/>
    <col min="7433" max="7433" width="8" style="5" customWidth="1"/>
    <col min="7434" max="7434" width="24.42578125" style="5" customWidth="1"/>
    <col min="7435" max="7492" width="9.42578125" style="5"/>
    <col min="7493" max="7493" width="12.5703125" style="5" customWidth="1"/>
    <col min="7494" max="7494" width="12.7109375" style="5" customWidth="1"/>
    <col min="7495" max="7495" width="15.5703125" style="5" customWidth="1"/>
    <col min="7496" max="7496" width="11.85546875" style="5" customWidth="1"/>
    <col min="7497" max="7497" width="12.42578125" style="5" customWidth="1"/>
    <col min="7498" max="7498" width="12" style="5" customWidth="1"/>
    <col min="7499" max="7680" width="9.42578125" style="5"/>
    <col min="7681" max="7681" width="25.85546875" style="5" customWidth="1"/>
    <col min="7682" max="7682" width="13.7109375" style="5" customWidth="1"/>
    <col min="7683" max="7683" width="28.28515625" style="5" customWidth="1"/>
    <col min="7684" max="7684" width="10.140625" style="5" customWidth="1"/>
    <col min="7685" max="7685" width="32.42578125" style="5" customWidth="1"/>
    <col min="7686" max="7686" width="11.28515625" style="5" customWidth="1"/>
    <col min="7687" max="7687" width="4" style="5" customWidth="1"/>
    <col min="7688" max="7688" width="20.140625" style="5" customWidth="1"/>
    <col min="7689" max="7689" width="8" style="5" customWidth="1"/>
    <col min="7690" max="7690" width="24.42578125" style="5" customWidth="1"/>
    <col min="7691" max="7748" width="9.42578125" style="5"/>
    <col min="7749" max="7749" width="12.5703125" style="5" customWidth="1"/>
    <col min="7750" max="7750" width="12.7109375" style="5" customWidth="1"/>
    <col min="7751" max="7751" width="15.5703125" style="5" customWidth="1"/>
    <col min="7752" max="7752" width="11.85546875" style="5" customWidth="1"/>
    <col min="7753" max="7753" width="12.42578125" style="5" customWidth="1"/>
    <col min="7754" max="7754" width="12" style="5" customWidth="1"/>
    <col min="7755" max="7936" width="9.42578125" style="5"/>
    <col min="7937" max="7937" width="25.85546875" style="5" customWidth="1"/>
    <col min="7938" max="7938" width="13.7109375" style="5" customWidth="1"/>
    <col min="7939" max="7939" width="28.28515625" style="5" customWidth="1"/>
    <col min="7940" max="7940" width="10.140625" style="5" customWidth="1"/>
    <col min="7941" max="7941" width="32.42578125" style="5" customWidth="1"/>
    <col min="7942" max="7942" width="11.28515625" style="5" customWidth="1"/>
    <col min="7943" max="7943" width="4" style="5" customWidth="1"/>
    <col min="7944" max="7944" width="20.140625" style="5" customWidth="1"/>
    <col min="7945" max="7945" width="8" style="5" customWidth="1"/>
    <col min="7946" max="7946" width="24.42578125" style="5" customWidth="1"/>
    <col min="7947" max="8004" width="9.42578125" style="5"/>
    <col min="8005" max="8005" width="12.5703125" style="5" customWidth="1"/>
    <col min="8006" max="8006" width="12.7109375" style="5" customWidth="1"/>
    <col min="8007" max="8007" width="15.5703125" style="5" customWidth="1"/>
    <col min="8008" max="8008" width="11.85546875" style="5" customWidth="1"/>
    <col min="8009" max="8009" width="12.42578125" style="5" customWidth="1"/>
    <col min="8010" max="8010" width="12" style="5" customWidth="1"/>
    <col min="8011" max="8192" width="9.42578125" style="5"/>
    <col min="8193" max="8193" width="25.85546875" style="5" customWidth="1"/>
    <col min="8194" max="8194" width="13.7109375" style="5" customWidth="1"/>
    <col min="8195" max="8195" width="28.28515625" style="5" customWidth="1"/>
    <col min="8196" max="8196" width="10.140625" style="5" customWidth="1"/>
    <col min="8197" max="8197" width="32.42578125" style="5" customWidth="1"/>
    <col min="8198" max="8198" width="11.28515625" style="5" customWidth="1"/>
    <col min="8199" max="8199" width="4" style="5" customWidth="1"/>
    <col min="8200" max="8200" width="20.140625" style="5" customWidth="1"/>
    <col min="8201" max="8201" width="8" style="5" customWidth="1"/>
    <col min="8202" max="8202" width="24.42578125" style="5" customWidth="1"/>
    <col min="8203" max="8260" width="9.42578125" style="5"/>
    <col min="8261" max="8261" width="12.5703125" style="5" customWidth="1"/>
    <col min="8262" max="8262" width="12.7109375" style="5" customWidth="1"/>
    <col min="8263" max="8263" width="15.5703125" style="5" customWidth="1"/>
    <col min="8264" max="8264" width="11.85546875" style="5" customWidth="1"/>
    <col min="8265" max="8265" width="12.42578125" style="5" customWidth="1"/>
    <col min="8266" max="8266" width="12" style="5" customWidth="1"/>
    <col min="8267" max="8448" width="9.42578125" style="5"/>
    <col min="8449" max="8449" width="25.85546875" style="5" customWidth="1"/>
    <col min="8450" max="8450" width="13.7109375" style="5" customWidth="1"/>
    <col min="8451" max="8451" width="28.28515625" style="5" customWidth="1"/>
    <col min="8452" max="8452" width="10.140625" style="5" customWidth="1"/>
    <col min="8453" max="8453" width="32.42578125" style="5" customWidth="1"/>
    <col min="8454" max="8454" width="11.28515625" style="5" customWidth="1"/>
    <col min="8455" max="8455" width="4" style="5" customWidth="1"/>
    <col min="8456" max="8456" width="20.140625" style="5" customWidth="1"/>
    <col min="8457" max="8457" width="8" style="5" customWidth="1"/>
    <col min="8458" max="8458" width="24.42578125" style="5" customWidth="1"/>
    <col min="8459" max="8516" width="9.42578125" style="5"/>
    <col min="8517" max="8517" width="12.5703125" style="5" customWidth="1"/>
    <col min="8518" max="8518" width="12.7109375" style="5" customWidth="1"/>
    <col min="8519" max="8519" width="15.5703125" style="5" customWidth="1"/>
    <col min="8520" max="8520" width="11.85546875" style="5" customWidth="1"/>
    <col min="8521" max="8521" width="12.42578125" style="5" customWidth="1"/>
    <col min="8522" max="8522" width="12" style="5" customWidth="1"/>
    <col min="8523" max="8704" width="9.42578125" style="5"/>
    <col min="8705" max="8705" width="25.85546875" style="5" customWidth="1"/>
    <col min="8706" max="8706" width="13.7109375" style="5" customWidth="1"/>
    <col min="8707" max="8707" width="28.28515625" style="5" customWidth="1"/>
    <col min="8708" max="8708" width="10.140625" style="5" customWidth="1"/>
    <col min="8709" max="8709" width="32.42578125" style="5" customWidth="1"/>
    <col min="8710" max="8710" width="11.28515625" style="5" customWidth="1"/>
    <col min="8711" max="8711" width="4" style="5" customWidth="1"/>
    <col min="8712" max="8712" width="20.140625" style="5" customWidth="1"/>
    <col min="8713" max="8713" width="8" style="5" customWidth="1"/>
    <col min="8714" max="8714" width="24.42578125" style="5" customWidth="1"/>
    <col min="8715" max="8772" width="9.42578125" style="5"/>
    <col min="8773" max="8773" width="12.5703125" style="5" customWidth="1"/>
    <col min="8774" max="8774" width="12.7109375" style="5" customWidth="1"/>
    <col min="8775" max="8775" width="15.5703125" style="5" customWidth="1"/>
    <col min="8776" max="8776" width="11.85546875" style="5" customWidth="1"/>
    <col min="8777" max="8777" width="12.42578125" style="5" customWidth="1"/>
    <col min="8778" max="8778" width="12" style="5" customWidth="1"/>
    <col min="8779" max="8960" width="9.42578125" style="5"/>
    <col min="8961" max="8961" width="25.85546875" style="5" customWidth="1"/>
    <col min="8962" max="8962" width="13.7109375" style="5" customWidth="1"/>
    <col min="8963" max="8963" width="28.28515625" style="5" customWidth="1"/>
    <col min="8964" max="8964" width="10.140625" style="5" customWidth="1"/>
    <col min="8965" max="8965" width="32.42578125" style="5" customWidth="1"/>
    <col min="8966" max="8966" width="11.28515625" style="5" customWidth="1"/>
    <col min="8967" max="8967" width="4" style="5" customWidth="1"/>
    <col min="8968" max="8968" width="20.140625" style="5" customWidth="1"/>
    <col min="8969" max="8969" width="8" style="5" customWidth="1"/>
    <col min="8970" max="8970" width="24.42578125" style="5" customWidth="1"/>
    <col min="8971" max="9028" width="9.42578125" style="5"/>
    <col min="9029" max="9029" width="12.5703125" style="5" customWidth="1"/>
    <col min="9030" max="9030" width="12.7109375" style="5" customWidth="1"/>
    <col min="9031" max="9031" width="15.5703125" style="5" customWidth="1"/>
    <col min="9032" max="9032" width="11.85546875" style="5" customWidth="1"/>
    <col min="9033" max="9033" width="12.42578125" style="5" customWidth="1"/>
    <col min="9034" max="9034" width="12" style="5" customWidth="1"/>
    <col min="9035" max="9216" width="9.42578125" style="5"/>
    <col min="9217" max="9217" width="25.85546875" style="5" customWidth="1"/>
    <col min="9218" max="9218" width="13.7109375" style="5" customWidth="1"/>
    <col min="9219" max="9219" width="28.28515625" style="5" customWidth="1"/>
    <col min="9220" max="9220" width="10.140625" style="5" customWidth="1"/>
    <col min="9221" max="9221" width="32.42578125" style="5" customWidth="1"/>
    <col min="9222" max="9222" width="11.28515625" style="5" customWidth="1"/>
    <col min="9223" max="9223" width="4" style="5" customWidth="1"/>
    <col min="9224" max="9224" width="20.140625" style="5" customWidth="1"/>
    <col min="9225" max="9225" width="8" style="5" customWidth="1"/>
    <col min="9226" max="9226" width="24.42578125" style="5" customWidth="1"/>
    <col min="9227" max="9284" width="9.42578125" style="5"/>
    <col min="9285" max="9285" width="12.5703125" style="5" customWidth="1"/>
    <col min="9286" max="9286" width="12.7109375" style="5" customWidth="1"/>
    <col min="9287" max="9287" width="15.5703125" style="5" customWidth="1"/>
    <col min="9288" max="9288" width="11.85546875" style="5" customWidth="1"/>
    <col min="9289" max="9289" width="12.42578125" style="5" customWidth="1"/>
    <col min="9290" max="9290" width="12" style="5" customWidth="1"/>
    <col min="9291" max="9472" width="9.42578125" style="5"/>
    <col min="9473" max="9473" width="25.85546875" style="5" customWidth="1"/>
    <col min="9474" max="9474" width="13.7109375" style="5" customWidth="1"/>
    <col min="9475" max="9475" width="28.28515625" style="5" customWidth="1"/>
    <col min="9476" max="9476" width="10.140625" style="5" customWidth="1"/>
    <col min="9477" max="9477" width="32.42578125" style="5" customWidth="1"/>
    <col min="9478" max="9478" width="11.28515625" style="5" customWidth="1"/>
    <col min="9479" max="9479" width="4" style="5" customWidth="1"/>
    <col min="9480" max="9480" width="20.140625" style="5" customWidth="1"/>
    <col min="9481" max="9481" width="8" style="5" customWidth="1"/>
    <col min="9482" max="9482" width="24.42578125" style="5" customWidth="1"/>
    <col min="9483" max="9540" width="9.42578125" style="5"/>
    <col min="9541" max="9541" width="12.5703125" style="5" customWidth="1"/>
    <col min="9542" max="9542" width="12.7109375" style="5" customWidth="1"/>
    <col min="9543" max="9543" width="15.5703125" style="5" customWidth="1"/>
    <col min="9544" max="9544" width="11.85546875" style="5" customWidth="1"/>
    <col min="9545" max="9545" width="12.42578125" style="5" customWidth="1"/>
    <col min="9546" max="9546" width="12" style="5" customWidth="1"/>
    <col min="9547" max="9728" width="9.42578125" style="5"/>
    <col min="9729" max="9729" width="25.85546875" style="5" customWidth="1"/>
    <col min="9730" max="9730" width="13.7109375" style="5" customWidth="1"/>
    <col min="9731" max="9731" width="28.28515625" style="5" customWidth="1"/>
    <col min="9732" max="9732" width="10.140625" style="5" customWidth="1"/>
    <col min="9733" max="9733" width="32.42578125" style="5" customWidth="1"/>
    <col min="9734" max="9734" width="11.28515625" style="5" customWidth="1"/>
    <col min="9735" max="9735" width="4" style="5" customWidth="1"/>
    <col min="9736" max="9736" width="20.140625" style="5" customWidth="1"/>
    <col min="9737" max="9737" width="8" style="5" customWidth="1"/>
    <col min="9738" max="9738" width="24.42578125" style="5" customWidth="1"/>
    <col min="9739" max="9796" width="9.42578125" style="5"/>
    <col min="9797" max="9797" width="12.5703125" style="5" customWidth="1"/>
    <col min="9798" max="9798" width="12.7109375" style="5" customWidth="1"/>
    <col min="9799" max="9799" width="15.5703125" style="5" customWidth="1"/>
    <col min="9800" max="9800" width="11.85546875" style="5" customWidth="1"/>
    <col min="9801" max="9801" width="12.42578125" style="5" customWidth="1"/>
    <col min="9802" max="9802" width="12" style="5" customWidth="1"/>
    <col min="9803" max="9984" width="9.42578125" style="5"/>
    <col min="9985" max="9985" width="25.85546875" style="5" customWidth="1"/>
    <col min="9986" max="9986" width="13.7109375" style="5" customWidth="1"/>
    <col min="9987" max="9987" width="28.28515625" style="5" customWidth="1"/>
    <col min="9988" max="9988" width="10.140625" style="5" customWidth="1"/>
    <col min="9989" max="9989" width="32.42578125" style="5" customWidth="1"/>
    <col min="9990" max="9990" width="11.28515625" style="5" customWidth="1"/>
    <col min="9991" max="9991" width="4" style="5" customWidth="1"/>
    <col min="9992" max="9992" width="20.140625" style="5" customWidth="1"/>
    <col min="9993" max="9993" width="8" style="5" customWidth="1"/>
    <col min="9994" max="9994" width="24.42578125" style="5" customWidth="1"/>
    <col min="9995" max="10052" width="9.42578125" style="5"/>
    <col min="10053" max="10053" width="12.5703125" style="5" customWidth="1"/>
    <col min="10054" max="10054" width="12.7109375" style="5" customWidth="1"/>
    <col min="10055" max="10055" width="15.5703125" style="5" customWidth="1"/>
    <col min="10056" max="10056" width="11.85546875" style="5" customWidth="1"/>
    <col min="10057" max="10057" width="12.42578125" style="5" customWidth="1"/>
    <col min="10058" max="10058" width="12" style="5" customWidth="1"/>
    <col min="10059" max="10240" width="9.42578125" style="5"/>
    <col min="10241" max="10241" width="25.85546875" style="5" customWidth="1"/>
    <col min="10242" max="10242" width="13.7109375" style="5" customWidth="1"/>
    <col min="10243" max="10243" width="28.28515625" style="5" customWidth="1"/>
    <col min="10244" max="10244" width="10.140625" style="5" customWidth="1"/>
    <col min="10245" max="10245" width="32.42578125" style="5" customWidth="1"/>
    <col min="10246" max="10246" width="11.28515625" style="5" customWidth="1"/>
    <col min="10247" max="10247" width="4" style="5" customWidth="1"/>
    <col min="10248" max="10248" width="20.140625" style="5" customWidth="1"/>
    <col min="10249" max="10249" width="8" style="5" customWidth="1"/>
    <col min="10250" max="10250" width="24.42578125" style="5" customWidth="1"/>
    <col min="10251" max="10308" width="9.42578125" style="5"/>
    <col min="10309" max="10309" width="12.5703125" style="5" customWidth="1"/>
    <col min="10310" max="10310" width="12.7109375" style="5" customWidth="1"/>
    <col min="10311" max="10311" width="15.5703125" style="5" customWidth="1"/>
    <col min="10312" max="10312" width="11.85546875" style="5" customWidth="1"/>
    <col min="10313" max="10313" width="12.42578125" style="5" customWidth="1"/>
    <col min="10314" max="10314" width="12" style="5" customWidth="1"/>
    <col min="10315" max="10496" width="9.42578125" style="5"/>
    <col min="10497" max="10497" width="25.85546875" style="5" customWidth="1"/>
    <col min="10498" max="10498" width="13.7109375" style="5" customWidth="1"/>
    <col min="10499" max="10499" width="28.28515625" style="5" customWidth="1"/>
    <col min="10500" max="10500" width="10.140625" style="5" customWidth="1"/>
    <col min="10501" max="10501" width="32.42578125" style="5" customWidth="1"/>
    <col min="10502" max="10502" width="11.28515625" style="5" customWidth="1"/>
    <col min="10503" max="10503" width="4" style="5" customWidth="1"/>
    <col min="10504" max="10504" width="20.140625" style="5" customWidth="1"/>
    <col min="10505" max="10505" width="8" style="5" customWidth="1"/>
    <col min="10506" max="10506" width="24.42578125" style="5" customWidth="1"/>
    <col min="10507" max="10564" width="9.42578125" style="5"/>
    <col min="10565" max="10565" width="12.5703125" style="5" customWidth="1"/>
    <col min="10566" max="10566" width="12.7109375" style="5" customWidth="1"/>
    <col min="10567" max="10567" width="15.5703125" style="5" customWidth="1"/>
    <col min="10568" max="10568" width="11.85546875" style="5" customWidth="1"/>
    <col min="10569" max="10569" width="12.42578125" style="5" customWidth="1"/>
    <col min="10570" max="10570" width="12" style="5" customWidth="1"/>
    <col min="10571" max="10752" width="9.42578125" style="5"/>
    <col min="10753" max="10753" width="25.85546875" style="5" customWidth="1"/>
    <col min="10754" max="10754" width="13.7109375" style="5" customWidth="1"/>
    <col min="10755" max="10755" width="28.28515625" style="5" customWidth="1"/>
    <col min="10756" max="10756" width="10.140625" style="5" customWidth="1"/>
    <col min="10757" max="10757" width="32.42578125" style="5" customWidth="1"/>
    <col min="10758" max="10758" width="11.28515625" style="5" customWidth="1"/>
    <col min="10759" max="10759" width="4" style="5" customWidth="1"/>
    <col min="10760" max="10760" width="20.140625" style="5" customWidth="1"/>
    <col min="10761" max="10761" width="8" style="5" customWidth="1"/>
    <col min="10762" max="10762" width="24.42578125" style="5" customWidth="1"/>
    <col min="10763" max="10820" width="9.42578125" style="5"/>
    <col min="10821" max="10821" width="12.5703125" style="5" customWidth="1"/>
    <col min="10822" max="10822" width="12.7109375" style="5" customWidth="1"/>
    <col min="10823" max="10823" width="15.5703125" style="5" customWidth="1"/>
    <col min="10824" max="10824" width="11.85546875" style="5" customWidth="1"/>
    <col min="10825" max="10825" width="12.42578125" style="5" customWidth="1"/>
    <col min="10826" max="10826" width="12" style="5" customWidth="1"/>
    <col min="10827" max="11008" width="9.42578125" style="5"/>
    <col min="11009" max="11009" width="25.85546875" style="5" customWidth="1"/>
    <col min="11010" max="11010" width="13.7109375" style="5" customWidth="1"/>
    <col min="11011" max="11011" width="28.28515625" style="5" customWidth="1"/>
    <col min="11012" max="11012" width="10.140625" style="5" customWidth="1"/>
    <col min="11013" max="11013" width="32.42578125" style="5" customWidth="1"/>
    <col min="11014" max="11014" width="11.28515625" style="5" customWidth="1"/>
    <col min="11015" max="11015" width="4" style="5" customWidth="1"/>
    <col min="11016" max="11016" width="20.140625" style="5" customWidth="1"/>
    <col min="11017" max="11017" width="8" style="5" customWidth="1"/>
    <col min="11018" max="11018" width="24.42578125" style="5" customWidth="1"/>
    <col min="11019" max="11076" width="9.42578125" style="5"/>
    <col min="11077" max="11077" width="12.5703125" style="5" customWidth="1"/>
    <col min="11078" max="11078" width="12.7109375" style="5" customWidth="1"/>
    <col min="11079" max="11079" width="15.5703125" style="5" customWidth="1"/>
    <col min="11080" max="11080" width="11.85546875" style="5" customWidth="1"/>
    <col min="11081" max="11081" width="12.42578125" style="5" customWidth="1"/>
    <col min="11082" max="11082" width="12" style="5" customWidth="1"/>
    <col min="11083" max="11264" width="9.42578125" style="5"/>
    <col min="11265" max="11265" width="25.85546875" style="5" customWidth="1"/>
    <col min="11266" max="11266" width="13.7109375" style="5" customWidth="1"/>
    <col min="11267" max="11267" width="28.28515625" style="5" customWidth="1"/>
    <col min="11268" max="11268" width="10.140625" style="5" customWidth="1"/>
    <col min="11269" max="11269" width="32.42578125" style="5" customWidth="1"/>
    <col min="11270" max="11270" width="11.28515625" style="5" customWidth="1"/>
    <col min="11271" max="11271" width="4" style="5" customWidth="1"/>
    <col min="11272" max="11272" width="20.140625" style="5" customWidth="1"/>
    <col min="11273" max="11273" width="8" style="5" customWidth="1"/>
    <col min="11274" max="11274" width="24.42578125" style="5" customWidth="1"/>
    <col min="11275" max="11332" width="9.42578125" style="5"/>
    <col min="11333" max="11333" width="12.5703125" style="5" customWidth="1"/>
    <col min="11334" max="11334" width="12.7109375" style="5" customWidth="1"/>
    <col min="11335" max="11335" width="15.5703125" style="5" customWidth="1"/>
    <col min="11336" max="11336" width="11.85546875" style="5" customWidth="1"/>
    <col min="11337" max="11337" width="12.42578125" style="5" customWidth="1"/>
    <col min="11338" max="11338" width="12" style="5" customWidth="1"/>
    <col min="11339" max="11520" width="9.42578125" style="5"/>
    <col min="11521" max="11521" width="25.85546875" style="5" customWidth="1"/>
    <col min="11522" max="11522" width="13.7109375" style="5" customWidth="1"/>
    <col min="11523" max="11523" width="28.28515625" style="5" customWidth="1"/>
    <col min="11524" max="11524" width="10.140625" style="5" customWidth="1"/>
    <col min="11525" max="11525" width="32.42578125" style="5" customWidth="1"/>
    <col min="11526" max="11526" width="11.28515625" style="5" customWidth="1"/>
    <col min="11527" max="11527" width="4" style="5" customWidth="1"/>
    <col min="11528" max="11528" width="20.140625" style="5" customWidth="1"/>
    <col min="11529" max="11529" width="8" style="5" customWidth="1"/>
    <col min="11530" max="11530" width="24.42578125" style="5" customWidth="1"/>
    <col min="11531" max="11588" width="9.42578125" style="5"/>
    <col min="11589" max="11589" width="12.5703125" style="5" customWidth="1"/>
    <col min="11590" max="11590" width="12.7109375" style="5" customWidth="1"/>
    <col min="11591" max="11591" width="15.5703125" style="5" customWidth="1"/>
    <col min="11592" max="11592" width="11.85546875" style="5" customWidth="1"/>
    <col min="11593" max="11593" width="12.42578125" style="5" customWidth="1"/>
    <col min="11594" max="11594" width="12" style="5" customWidth="1"/>
    <col min="11595" max="11776" width="9.42578125" style="5"/>
    <col min="11777" max="11777" width="25.85546875" style="5" customWidth="1"/>
    <col min="11778" max="11778" width="13.7109375" style="5" customWidth="1"/>
    <col min="11779" max="11779" width="28.28515625" style="5" customWidth="1"/>
    <col min="11780" max="11780" width="10.140625" style="5" customWidth="1"/>
    <col min="11781" max="11781" width="32.42578125" style="5" customWidth="1"/>
    <col min="11782" max="11782" width="11.28515625" style="5" customWidth="1"/>
    <col min="11783" max="11783" width="4" style="5" customWidth="1"/>
    <col min="11784" max="11784" width="20.140625" style="5" customWidth="1"/>
    <col min="11785" max="11785" width="8" style="5" customWidth="1"/>
    <col min="11786" max="11786" width="24.42578125" style="5" customWidth="1"/>
    <col min="11787" max="11844" width="9.42578125" style="5"/>
    <col min="11845" max="11845" width="12.5703125" style="5" customWidth="1"/>
    <col min="11846" max="11846" width="12.7109375" style="5" customWidth="1"/>
    <col min="11847" max="11847" width="15.5703125" style="5" customWidth="1"/>
    <col min="11848" max="11848" width="11.85546875" style="5" customWidth="1"/>
    <col min="11849" max="11849" width="12.42578125" style="5" customWidth="1"/>
    <col min="11850" max="11850" width="12" style="5" customWidth="1"/>
    <col min="11851" max="12032" width="9.42578125" style="5"/>
    <col min="12033" max="12033" width="25.85546875" style="5" customWidth="1"/>
    <col min="12034" max="12034" width="13.7109375" style="5" customWidth="1"/>
    <col min="12035" max="12035" width="28.28515625" style="5" customWidth="1"/>
    <col min="12036" max="12036" width="10.140625" style="5" customWidth="1"/>
    <col min="12037" max="12037" width="32.42578125" style="5" customWidth="1"/>
    <col min="12038" max="12038" width="11.28515625" style="5" customWidth="1"/>
    <col min="12039" max="12039" width="4" style="5" customWidth="1"/>
    <col min="12040" max="12040" width="20.140625" style="5" customWidth="1"/>
    <col min="12041" max="12041" width="8" style="5" customWidth="1"/>
    <col min="12042" max="12042" width="24.42578125" style="5" customWidth="1"/>
    <col min="12043" max="12100" width="9.42578125" style="5"/>
    <col min="12101" max="12101" width="12.5703125" style="5" customWidth="1"/>
    <col min="12102" max="12102" width="12.7109375" style="5" customWidth="1"/>
    <col min="12103" max="12103" width="15.5703125" style="5" customWidth="1"/>
    <col min="12104" max="12104" width="11.85546875" style="5" customWidth="1"/>
    <col min="12105" max="12105" width="12.42578125" style="5" customWidth="1"/>
    <col min="12106" max="12106" width="12" style="5" customWidth="1"/>
    <col min="12107" max="12288" width="9.42578125" style="5"/>
    <col min="12289" max="12289" width="25.85546875" style="5" customWidth="1"/>
    <col min="12290" max="12290" width="13.7109375" style="5" customWidth="1"/>
    <col min="12291" max="12291" width="28.28515625" style="5" customWidth="1"/>
    <col min="12292" max="12292" width="10.140625" style="5" customWidth="1"/>
    <col min="12293" max="12293" width="32.42578125" style="5" customWidth="1"/>
    <col min="12294" max="12294" width="11.28515625" style="5" customWidth="1"/>
    <col min="12295" max="12295" width="4" style="5" customWidth="1"/>
    <col min="12296" max="12296" width="20.140625" style="5" customWidth="1"/>
    <col min="12297" max="12297" width="8" style="5" customWidth="1"/>
    <col min="12298" max="12298" width="24.42578125" style="5" customWidth="1"/>
    <col min="12299" max="12356" width="9.42578125" style="5"/>
    <col min="12357" max="12357" width="12.5703125" style="5" customWidth="1"/>
    <col min="12358" max="12358" width="12.7109375" style="5" customWidth="1"/>
    <col min="12359" max="12359" width="15.5703125" style="5" customWidth="1"/>
    <col min="12360" max="12360" width="11.85546875" style="5" customWidth="1"/>
    <col min="12361" max="12361" width="12.42578125" style="5" customWidth="1"/>
    <col min="12362" max="12362" width="12" style="5" customWidth="1"/>
    <col min="12363" max="12544" width="9.42578125" style="5"/>
    <col min="12545" max="12545" width="25.85546875" style="5" customWidth="1"/>
    <col min="12546" max="12546" width="13.7109375" style="5" customWidth="1"/>
    <col min="12547" max="12547" width="28.28515625" style="5" customWidth="1"/>
    <col min="12548" max="12548" width="10.140625" style="5" customWidth="1"/>
    <col min="12549" max="12549" width="32.42578125" style="5" customWidth="1"/>
    <col min="12550" max="12550" width="11.28515625" style="5" customWidth="1"/>
    <col min="12551" max="12551" width="4" style="5" customWidth="1"/>
    <col min="12552" max="12552" width="20.140625" style="5" customWidth="1"/>
    <col min="12553" max="12553" width="8" style="5" customWidth="1"/>
    <col min="12554" max="12554" width="24.42578125" style="5" customWidth="1"/>
    <col min="12555" max="12612" width="9.42578125" style="5"/>
    <col min="12613" max="12613" width="12.5703125" style="5" customWidth="1"/>
    <col min="12614" max="12614" width="12.7109375" style="5" customWidth="1"/>
    <col min="12615" max="12615" width="15.5703125" style="5" customWidth="1"/>
    <col min="12616" max="12616" width="11.85546875" style="5" customWidth="1"/>
    <col min="12617" max="12617" width="12.42578125" style="5" customWidth="1"/>
    <col min="12618" max="12618" width="12" style="5" customWidth="1"/>
    <col min="12619" max="12800" width="9.42578125" style="5"/>
    <col min="12801" max="12801" width="25.85546875" style="5" customWidth="1"/>
    <col min="12802" max="12802" width="13.7109375" style="5" customWidth="1"/>
    <col min="12803" max="12803" width="28.28515625" style="5" customWidth="1"/>
    <col min="12804" max="12804" width="10.140625" style="5" customWidth="1"/>
    <col min="12805" max="12805" width="32.42578125" style="5" customWidth="1"/>
    <col min="12806" max="12806" width="11.28515625" style="5" customWidth="1"/>
    <col min="12807" max="12807" width="4" style="5" customWidth="1"/>
    <col min="12808" max="12808" width="20.140625" style="5" customWidth="1"/>
    <col min="12809" max="12809" width="8" style="5" customWidth="1"/>
    <col min="12810" max="12810" width="24.42578125" style="5" customWidth="1"/>
    <col min="12811" max="12868" width="9.42578125" style="5"/>
    <col min="12869" max="12869" width="12.5703125" style="5" customWidth="1"/>
    <col min="12870" max="12870" width="12.7109375" style="5" customWidth="1"/>
    <col min="12871" max="12871" width="15.5703125" style="5" customWidth="1"/>
    <col min="12872" max="12872" width="11.85546875" style="5" customWidth="1"/>
    <col min="12873" max="12873" width="12.42578125" style="5" customWidth="1"/>
    <col min="12874" max="12874" width="12" style="5" customWidth="1"/>
    <col min="12875" max="13056" width="9.42578125" style="5"/>
    <col min="13057" max="13057" width="25.85546875" style="5" customWidth="1"/>
    <col min="13058" max="13058" width="13.7109375" style="5" customWidth="1"/>
    <col min="13059" max="13059" width="28.28515625" style="5" customWidth="1"/>
    <col min="13060" max="13060" width="10.140625" style="5" customWidth="1"/>
    <col min="13061" max="13061" width="32.42578125" style="5" customWidth="1"/>
    <col min="13062" max="13062" width="11.28515625" style="5" customWidth="1"/>
    <col min="13063" max="13063" width="4" style="5" customWidth="1"/>
    <col min="13064" max="13064" width="20.140625" style="5" customWidth="1"/>
    <col min="13065" max="13065" width="8" style="5" customWidth="1"/>
    <col min="13066" max="13066" width="24.42578125" style="5" customWidth="1"/>
    <col min="13067" max="13124" width="9.42578125" style="5"/>
    <col min="13125" max="13125" width="12.5703125" style="5" customWidth="1"/>
    <col min="13126" max="13126" width="12.7109375" style="5" customWidth="1"/>
    <col min="13127" max="13127" width="15.5703125" style="5" customWidth="1"/>
    <col min="13128" max="13128" width="11.85546875" style="5" customWidth="1"/>
    <col min="13129" max="13129" width="12.42578125" style="5" customWidth="1"/>
    <col min="13130" max="13130" width="12" style="5" customWidth="1"/>
    <col min="13131" max="13312" width="9.42578125" style="5"/>
    <col min="13313" max="13313" width="25.85546875" style="5" customWidth="1"/>
    <col min="13314" max="13314" width="13.7109375" style="5" customWidth="1"/>
    <col min="13315" max="13315" width="28.28515625" style="5" customWidth="1"/>
    <col min="13316" max="13316" width="10.140625" style="5" customWidth="1"/>
    <col min="13317" max="13317" width="32.42578125" style="5" customWidth="1"/>
    <col min="13318" max="13318" width="11.28515625" style="5" customWidth="1"/>
    <col min="13319" max="13319" width="4" style="5" customWidth="1"/>
    <col min="13320" max="13320" width="20.140625" style="5" customWidth="1"/>
    <col min="13321" max="13321" width="8" style="5" customWidth="1"/>
    <col min="13322" max="13322" width="24.42578125" style="5" customWidth="1"/>
    <col min="13323" max="13380" width="9.42578125" style="5"/>
    <col min="13381" max="13381" width="12.5703125" style="5" customWidth="1"/>
    <col min="13382" max="13382" width="12.7109375" style="5" customWidth="1"/>
    <col min="13383" max="13383" width="15.5703125" style="5" customWidth="1"/>
    <col min="13384" max="13384" width="11.85546875" style="5" customWidth="1"/>
    <col min="13385" max="13385" width="12.42578125" style="5" customWidth="1"/>
    <col min="13386" max="13386" width="12" style="5" customWidth="1"/>
    <col min="13387" max="13568" width="9.42578125" style="5"/>
    <col min="13569" max="13569" width="25.85546875" style="5" customWidth="1"/>
    <col min="13570" max="13570" width="13.7109375" style="5" customWidth="1"/>
    <col min="13571" max="13571" width="28.28515625" style="5" customWidth="1"/>
    <col min="13572" max="13572" width="10.140625" style="5" customWidth="1"/>
    <col min="13573" max="13573" width="32.42578125" style="5" customWidth="1"/>
    <col min="13574" max="13574" width="11.28515625" style="5" customWidth="1"/>
    <col min="13575" max="13575" width="4" style="5" customWidth="1"/>
    <col min="13576" max="13576" width="20.140625" style="5" customWidth="1"/>
    <col min="13577" max="13577" width="8" style="5" customWidth="1"/>
    <col min="13578" max="13578" width="24.42578125" style="5" customWidth="1"/>
    <col min="13579" max="13636" width="9.42578125" style="5"/>
    <col min="13637" max="13637" width="12.5703125" style="5" customWidth="1"/>
    <col min="13638" max="13638" width="12.7109375" style="5" customWidth="1"/>
    <col min="13639" max="13639" width="15.5703125" style="5" customWidth="1"/>
    <col min="13640" max="13640" width="11.85546875" style="5" customWidth="1"/>
    <col min="13641" max="13641" width="12.42578125" style="5" customWidth="1"/>
    <col min="13642" max="13642" width="12" style="5" customWidth="1"/>
    <col min="13643" max="13824" width="9.42578125" style="5"/>
    <col min="13825" max="13825" width="25.85546875" style="5" customWidth="1"/>
    <col min="13826" max="13826" width="13.7109375" style="5" customWidth="1"/>
    <col min="13827" max="13827" width="28.28515625" style="5" customWidth="1"/>
    <col min="13828" max="13828" width="10.140625" style="5" customWidth="1"/>
    <col min="13829" max="13829" width="32.42578125" style="5" customWidth="1"/>
    <col min="13830" max="13830" width="11.28515625" style="5" customWidth="1"/>
    <col min="13831" max="13831" width="4" style="5" customWidth="1"/>
    <col min="13832" max="13832" width="20.140625" style="5" customWidth="1"/>
    <col min="13833" max="13833" width="8" style="5" customWidth="1"/>
    <col min="13834" max="13834" width="24.42578125" style="5" customWidth="1"/>
    <col min="13835" max="13892" width="9.42578125" style="5"/>
    <col min="13893" max="13893" width="12.5703125" style="5" customWidth="1"/>
    <col min="13894" max="13894" width="12.7109375" style="5" customWidth="1"/>
    <col min="13895" max="13895" width="15.5703125" style="5" customWidth="1"/>
    <col min="13896" max="13896" width="11.85546875" style="5" customWidth="1"/>
    <col min="13897" max="13897" width="12.42578125" style="5" customWidth="1"/>
    <col min="13898" max="13898" width="12" style="5" customWidth="1"/>
    <col min="13899" max="14080" width="9.42578125" style="5"/>
    <col min="14081" max="14081" width="25.85546875" style="5" customWidth="1"/>
    <col min="14082" max="14082" width="13.7109375" style="5" customWidth="1"/>
    <col min="14083" max="14083" width="28.28515625" style="5" customWidth="1"/>
    <col min="14084" max="14084" width="10.140625" style="5" customWidth="1"/>
    <col min="14085" max="14085" width="32.42578125" style="5" customWidth="1"/>
    <col min="14086" max="14086" width="11.28515625" style="5" customWidth="1"/>
    <col min="14087" max="14087" width="4" style="5" customWidth="1"/>
    <col min="14088" max="14088" width="20.140625" style="5" customWidth="1"/>
    <col min="14089" max="14089" width="8" style="5" customWidth="1"/>
    <col min="14090" max="14090" width="24.42578125" style="5" customWidth="1"/>
    <col min="14091" max="14148" width="9.42578125" style="5"/>
    <col min="14149" max="14149" width="12.5703125" style="5" customWidth="1"/>
    <col min="14150" max="14150" width="12.7109375" style="5" customWidth="1"/>
    <col min="14151" max="14151" width="15.5703125" style="5" customWidth="1"/>
    <col min="14152" max="14152" width="11.85546875" style="5" customWidth="1"/>
    <col min="14153" max="14153" width="12.42578125" style="5" customWidth="1"/>
    <col min="14154" max="14154" width="12" style="5" customWidth="1"/>
    <col min="14155" max="14336" width="9.42578125" style="5"/>
    <col min="14337" max="14337" width="25.85546875" style="5" customWidth="1"/>
    <col min="14338" max="14338" width="13.7109375" style="5" customWidth="1"/>
    <col min="14339" max="14339" width="28.28515625" style="5" customWidth="1"/>
    <col min="14340" max="14340" width="10.140625" style="5" customWidth="1"/>
    <col min="14341" max="14341" width="32.42578125" style="5" customWidth="1"/>
    <col min="14342" max="14342" width="11.28515625" style="5" customWidth="1"/>
    <col min="14343" max="14343" width="4" style="5" customWidth="1"/>
    <col min="14344" max="14344" width="20.140625" style="5" customWidth="1"/>
    <col min="14345" max="14345" width="8" style="5" customWidth="1"/>
    <col min="14346" max="14346" width="24.42578125" style="5" customWidth="1"/>
    <col min="14347" max="14404" width="9.42578125" style="5"/>
    <col min="14405" max="14405" width="12.5703125" style="5" customWidth="1"/>
    <col min="14406" max="14406" width="12.7109375" style="5" customWidth="1"/>
    <col min="14407" max="14407" width="15.5703125" style="5" customWidth="1"/>
    <col min="14408" max="14408" width="11.85546875" style="5" customWidth="1"/>
    <col min="14409" max="14409" width="12.42578125" style="5" customWidth="1"/>
    <col min="14410" max="14410" width="12" style="5" customWidth="1"/>
    <col min="14411" max="14592" width="9.42578125" style="5"/>
    <col min="14593" max="14593" width="25.85546875" style="5" customWidth="1"/>
    <col min="14594" max="14594" width="13.7109375" style="5" customWidth="1"/>
    <col min="14595" max="14595" width="28.28515625" style="5" customWidth="1"/>
    <col min="14596" max="14596" width="10.140625" style="5" customWidth="1"/>
    <col min="14597" max="14597" width="32.42578125" style="5" customWidth="1"/>
    <col min="14598" max="14598" width="11.28515625" style="5" customWidth="1"/>
    <col min="14599" max="14599" width="4" style="5" customWidth="1"/>
    <col min="14600" max="14600" width="20.140625" style="5" customWidth="1"/>
    <col min="14601" max="14601" width="8" style="5" customWidth="1"/>
    <col min="14602" max="14602" width="24.42578125" style="5" customWidth="1"/>
    <col min="14603" max="14660" width="9.42578125" style="5"/>
    <col min="14661" max="14661" width="12.5703125" style="5" customWidth="1"/>
    <col min="14662" max="14662" width="12.7109375" style="5" customWidth="1"/>
    <col min="14663" max="14663" width="15.5703125" style="5" customWidth="1"/>
    <col min="14664" max="14664" width="11.85546875" style="5" customWidth="1"/>
    <col min="14665" max="14665" width="12.42578125" style="5" customWidth="1"/>
    <col min="14666" max="14666" width="12" style="5" customWidth="1"/>
    <col min="14667" max="14848" width="9.42578125" style="5"/>
    <col min="14849" max="14849" width="25.85546875" style="5" customWidth="1"/>
    <col min="14850" max="14850" width="13.7109375" style="5" customWidth="1"/>
    <col min="14851" max="14851" width="28.28515625" style="5" customWidth="1"/>
    <col min="14852" max="14852" width="10.140625" style="5" customWidth="1"/>
    <col min="14853" max="14853" width="32.42578125" style="5" customWidth="1"/>
    <col min="14854" max="14854" width="11.28515625" style="5" customWidth="1"/>
    <col min="14855" max="14855" width="4" style="5" customWidth="1"/>
    <col min="14856" max="14856" width="20.140625" style="5" customWidth="1"/>
    <col min="14857" max="14857" width="8" style="5" customWidth="1"/>
    <col min="14858" max="14858" width="24.42578125" style="5" customWidth="1"/>
    <col min="14859" max="14916" width="9.42578125" style="5"/>
    <col min="14917" max="14917" width="12.5703125" style="5" customWidth="1"/>
    <col min="14918" max="14918" width="12.7109375" style="5" customWidth="1"/>
    <col min="14919" max="14919" width="15.5703125" style="5" customWidth="1"/>
    <col min="14920" max="14920" width="11.85546875" style="5" customWidth="1"/>
    <col min="14921" max="14921" width="12.42578125" style="5" customWidth="1"/>
    <col min="14922" max="14922" width="12" style="5" customWidth="1"/>
    <col min="14923" max="15104" width="9.42578125" style="5"/>
    <col min="15105" max="15105" width="25.85546875" style="5" customWidth="1"/>
    <col min="15106" max="15106" width="13.7109375" style="5" customWidth="1"/>
    <col min="15107" max="15107" width="28.28515625" style="5" customWidth="1"/>
    <col min="15108" max="15108" width="10.140625" style="5" customWidth="1"/>
    <col min="15109" max="15109" width="32.42578125" style="5" customWidth="1"/>
    <col min="15110" max="15110" width="11.28515625" style="5" customWidth="1"/>
    <col min="15111" max="15111" width="4" style="5" customWidth="1"/>
    <col min="15112" max="15112" width="20.140625" style="5" customWidth="1"/>
    <col min="15113" max="15113" width="8" style="5" customWidth="1"/>
    <col min="15114" max="15114" width="24.42578125" style="5" customWidth="1"/>
    <col min="15115" max="15172" width="9.42578125" style="5"/>
    <col min="15173" max="15173" width="12.5703125" style="5" customWidth="1"/>
    <col min="15174" max="15174" width="12.7109375" style="5" customWidth="1"/>
    <col min="15175" max="15175" width="15.5703125" style="5" customWidth="1"/>
    <col min="15176" max="15176" width="11.85546875" style="5" customWidth="1"/>
    <col min="15177" max="15177" width="12.42578125" style="5" customWidth="1"/>
    <col min="15178" max="15178" width="12" style="5" customWidth="1"/>
    <col min="15179" max="15360" width="9.42578125" style="5"/>
    <col min="15361" max="15361" width="25.85546875" style="5" customWidth="1"/>
    <col min="15362" max="15362" width="13.7109375" style="5" customWidth="1"/>
    <col min="15363" max="15363" width="28.28515625" style="5" customWidth="1"/>
    <col min="15364" max="15364" width="10.140625" style="5" customWidth="1"/>
    <col min="15365" max="15365" width="32.42578125" style="5" customWidth="1"/>
    <col min="15366" max="15366" width="11.28515625" style="5" customWidth="1"/>
    <col min="15367" max="15367" width="4" style="5" customWidth="1"/>
    <col min="15368" max="15368" width="20.140625" style="5" customWidth="1"/>
    <col min="15369" max="15369" width="8" style="5" customWidth="1"/>
    <col min="15370" max="15370" width="24.42578125" style="5" customWidth="1"/>
    <col min="15371" max="15428" width="9.42578125" style="5"/>
    <col min="15429" max="15429" width="12.5703125" style="5" customWidth="1"/>
    <col min="15430" max="15430" width="12.7109375" style="5" customWidth="1"/>
    <col min="15431" max="15431" width="15.5703125" style="5" customWidth="1"/>
    <col min="15432" max="15432" width="11.85546875" style="5" customWidth="1"/>
    <col min="15433" max="15433" width="12.42578125" style="5" customWidth="1"/>
    <col min="15434" max="15434" width="12" style="5" customWidth="1"/>
    <col min="15435" max="15616" width="9.42578125" style="5"/>
    <col min="15617" max="15617" width="25.85546875" style="5" customWidth="1"/>
    <col min="15618" max="15618" width="13.7109375" style="5" customWidth="1"/>
    <col min="15619" max="15619" width="28.28515625" style="5" customWidth="1"/>
    <col min="15620" max="15620" width="10.140625" style="5" customWidth="1"/>
    <col min="15621" max="15621" width="32.42578125" style="5" customWidth="1"/>
    <col min="15622" max="15622" width="11.28515625" style="5" customWidth="1"/>
    <col min="15623" max="15623" width="4" style="5" customWidth="1"/>
    <col min="15624" max="15624" width="20.140625" style="5" customWidth="1"/>
    <col min="15625" max="15625" width="8" style="5" customWidth="1"/>
    <col min="15626" max="15626" width="24.42578125" style="5" customWidth="1"/>
    <col min="15627" max="15684" width="9.42578125" style="5"/>
    <col min="15685" max="15685" width="12.5703125" style="5" customWidth="1"/>
    <col min="15686" max="15686" width="12.7109375" style="5" customWidth="1"/>
    <col min="15687" max="15687" width="15.5703125" style="5" customWidth="1"/>
    <col min="15688" max="15688" width="11.85546875" style="5" customWidth="1"/>
    <col min="15689" max="15689" width="12.42578125" style="5" customWidth="1"/>
    <col min="15690" max="15690" width="12" style="5" customWidth="1"/>
    <col min="15691" max="15872" width="9.42578125" style="5"/>
    <col min="15873" max="15873" width="25.85546875" style="5" customWidth="1"/>
    <col min="15874" max="15874" width="13.7109375" style="5" customWidth="1"/>
    <col min="15875" max="15875" width="28.28515625" style="5" customWidth="1"/>
    <col min="15876" max="15876" width="10.140625" style="5" customWidth="1"/>
    <col min="15877" max="15877" width="32.42578125" style="5" customWidth="1"/>
    <col min="15878" max="15878" width="11.28515625" style="5" customWidth="1"/>
    <col min="15879" max="15879" width="4" style="5" customWidth="1"/>
    <col min="15880" max="15880" width="20.140625" style="5" customWidth="1"/>
    <col min="15881" max="15881" width="8" style="5" customWidth="1"/>
    <col min="15882" max="15882" width="24.42578125" style="5" customWidth="1"/>
    <col min="15883" max="15940" width="9.42578125" style="5"/>
    <col min="15941" max="15941" width="12.5703125" style="5" customWidth="1"/>
    <col min="15942" max="15942" width="12.7109375" style="5" customWidth="1"/>
    <col min="15943" max="15943" width="15.5703125" style="5" customWidth="1"/>
    <col min="15944" max="15944" width="11.85546875" style="5" customWidth="1"/>
    <col min="15945" max="15945" width="12.42578125" style="5" customWidth="1"/>
    <col min="15946" max="15946" width="12" style="5" customWidth="1"/>
    <col min="15947" max="16128" width="9.42578125" style="5"/>
    <col min="16129" max="16129" width="25.85546875" style="5" customWidth="1"/>
    <col min="16130" max="16130" width="13.7109375" style="5" customWidth="1"/>
    <col min="16131" max="16131" width="28.28515625" style="5" customWidth="1"/>
    <col min="16132" max="16132" width="10.140625" style="5" customWidth="1"/>
    <col min="16133" max="16133" width="32.42578125" style="5" customWidth="1"/>
    <col min="16134" max="16134" width="11.28515625" style="5" customWidth="1"/>
    <col min="16135" max="16135" width="4" style="5" customWidth="1"/>
    <col min="16136" max="16136" width="20.140625" style="5" customWidth="1"/>
    <col min="16137" max="16137" width="8" style="5" customWidth="1"/>
    <col min="16138" max="16138" width="24.42578125" style="5" customWidth="1"/>
    <col min="16139" max="16196" width="9.42578125" style="5"/>
    <col min="16197" max="16197" width="12.5703125" style="5" customWidth="1"/>
    <col min="16198" max="16198" width="12.7109375" style="5" customWidth="1"/>
    <col min="16199" max="16199" width="15.5703125" style="5" customWidth="1"/>
    <col min="16200" max="16200" width="11.85546875" style="5" customWidth="1"/>
    <col min="16201" max="16201" width="12.42578125" style="5" customWidth="1"/>
    <col min="16202" max="16202" width="12" style="5" customWidth="1"/>
    <col min="16203" max="16384" width="9.42578125" style="5"/>
  </cols>
  <sheetData>
    <row r="1" spans="1:9" s="7" customFormat="1" ht="28.35" customHeight="1">
      <c r="A1" s="952" t="s">
        <v>4</v>
      </c>
      <c r="B1" s="952"/>
      <c r="C1" s="952"/>
      <c r="D1" s="952"/>
      <c r="E1" s="952"/>
      <c r="F1" s="952"/>
      <c r="G1" s="6"/>
      <c r="H1" s="305"/>
      <c r="I1" s="305"/>
    </row>
    <row r="2" spans="1:9" s="7" customFormat="1" ht="7.5" hidden="1" customHeight="1">
      <c r="A2" s="1010"/>
      <c r="B2" s="1010"/>
      <c r="C2" s="1010"/>
      <c r="D2" s="1010"/>
      <c r="E2" s="1010"/>
      <c r="F2" s="1010"/>
      <c r="H2" s="305"/>
      <c r="I2" s="305"/>
    </row>
    <row r="3" spans="1:9" s="7" customFormat="1" ht="31.5" customHeight="1" thickBot="1">
      <c r="A3" s="13" t="s">
        <v>18</v>
      </c>
      <c r="B3" s="14" t="s">
        <v>44</v>
      </c>
      <c r="C3" s="305"/>
      <c r="D3" s="305"/>
      <c r="E3" s="953" t="s">
        <v>5</v>
      </c>
      <c r="F3" s="953"/>
      <c r="G3" s="10"/>
      <c r="H3" s="305"/>
      <c r="I3" s="305"/>
    </row>
    <row r="4" spans="1:9" s="7" customFormat="1" ht="30" customHeight="1">
      <c r="A4" s="11" t="s">
        <v>13</v>
      </c>
      <c r="B4" s="12" t="s">
        <v>14</v>
      </c>
      <c r="C4" s="305"/>
      <c r="D4" s="305"/>
      <c r="E4" s="305"/>
      <c r="F4" s="305"/>
      <c r="G4" s="10"/>
      <c r="H4" s="305"/>
      <c r="I4" s="305"/>
    </row>
    <row r="5" spans="1:9" s="7" customFormat="1" ht="28.5" hidden="1" customHeight="1">
      <c r="A5" s="305"/>
      <c r="B5" s="305"/>
      <c r="C5" s="305"/>
      <c r="D5" s="305"/>
      <c r="E5" s="305"/>
      <c r="F5" s="305"/>
      <c r="G5" s="10"/>
      <c r="H5" s="305"/>
      <c r="I5" s="305"/>
    </row>
    <row r="6" spans="1:9" ht="21" customHeight="1" thickBot="1">
      <c r="A6" s="305"/>
      <c r="B6" s="305"/>
      <c r="C6" s="305"/>
      <c r="D6" s="305"/>
      <c r="E6" s="305"/>
      <c r="F6" s="305"/>
      <c r="G6" s="15"/>
      <c r="H6" s="305"/>
      <c r="I6" s="305"/>
    </row>
    <row r="7" spans="1:9" ht="29.85" customHeight="1">
      <c r="A7" s="1008" t="s">
        <v>398</v>
      </c>
      <c r="B7" s="1008"/>
      <c r="C7" s="1008" t="s">
        <v>407</v>
      </c>
      <c r="D7" s="1008"/>
      <c r="E7" s="1009" t="s">
        <v>452</v>
      </c>
      <c r="F7" s="1009"/>
    </row>
    <row r="8" spans="1:9" ht="24.75" customHeight="1">
      <c r="A8" s="767" t="s">
        <v>24</v>
      </c>
      <c r="B8" s="768">
        <f>IF(B3="&lt;75",482,IF(B3="76-150",752,IF(B3="151-350",1193,IF(B3="&gt;350",2323,0))))</f>
        <v>1193</v>
      </c>
      <c r="C8" s="767" t="s">
        <v>24</v>
      </c>
      <c r="D8" s="768">
        <f>IF(B3="&lt;75",482,IF(B3="76-150",752,IF(B3="151-350",1193,IF(B3="&gt;350",2323,0))))</f>
        <v>1193</v>
      </c>
      <c r="E8" s="1006" t="s">
        <v>15</v>
      </c>
      <c r="F8" s="1006"/>
    </row>
    <row r="9" spans="1:9" ht="23.85" customHeight="1">
      <c r="A9" s="767" t="s">
        <v>399</v>
      </c>
      <c r="B9" s="767">
        <f>2*B8</f>
        <v>2386</v>
      </c>
      <c r="C9" s="769" t="s">
        <v>400</v>
      </c>
      <c r="D9" s="768">
        <f>3*D8</f>
        <v>3579</v>
      </c>
      <c r="E9" s="1006" t="s">
        <v>630</v>
      </c>
      <c r="F9" s="1006"/>
      <c r="G9" s="7"/>
      <c r="H9" s="7"/>
    </row>
    <row r="10" spans="1:9" ht="22.5" customHeight="1">
      <c r="A10" s="769" t="s">
        <v>26</v>
      </c>
      <c r="B10" s="768">
        <f>IF(B4="yes",2*275,0)</f>
        <v>550</v>
      </c>
      <c r="C10" s="769" t="s">
        <v>26</v>
      </c>
      <c r="D10" s="770">
        <f>IF(B4="Yes",275*3,0)</f>
        <v>825</v>
      </c>
      <c r="E10" s="1006" t="s">
        <v>483</v>
      </c>
      <c r="F10" s="1006"/>
      <c r="G10" s="7"/>
      <c r="H10" s="7"/>
    </row>
    <row r="11" spans="1:9">
      <c r="A11" s="767" t="s">
        <v>31</v>
      </c>
      <c r="B11" s="771">
        <f>B9+B10</f>
        <v>2936</v>
      </c>
      <c r="C11" s="767" t="s">
        <v>31</v>
      </c>
      <c r="D11" s="771">
        <f>D9+D10</f>
        <v>4404</v>
      </c>
      <c r="E11" s="305"/>
      <c r="F11" s="305"/>
      <c r="G11" s="7"/>
      <c r="H11" s="7"/>
    </row>
    <row r="12" spans="1:9" s="90" customFormat="1">
      <c r="A12" s="767" t="s">
        <v>514</v>
      </c>
      <c r="B12" s="772">
        <f>'Motor Home Page'!N1%*B11</f>
        <v>528.48</v>
      </c>
      <c r="C12" s="767" t="s">
        <v>514</v>
      </c>
      <c r="D12" s="772">
        <f>'Motor Home Page'!N1%*D11</f>
        <v>792.72</v>
      </c>
      <c r="E12" s="305"/>
      <c r="F12" s="305"/>
      <c r="G12" s="338"/>
      <c r="H12" s="338"/>
    </row>
    <row r="13" spans="1:9" s="90" customFormat="1" ht="15.75">
      <c r="A13" s="19" t="s">
        <v>29</v>
      </c>
      <c r="B13" s="339">
        <f>B11+B12</f>
        <v>3464.48</v>
      </c>
      <c r="C13" s="19" t="s">
        <v>29</v>
      </c>
      <c r="D13" s="339">
        <f>D11+D12</f>
        <v>5196.72</v>
      </c>
      <c r="E13" s="96"/>
      <c r="F13" s="96"/>
      <c r="G13" s="338"/>
      <c r="H13" s="338"/>
    </row>
    <row r="14" spans="1:9" ht="17.25" customHeight="1">
      <c r="A14" s="305"/>
      <c r="B14" s="305"/>
      <c r="C14" s="305"/>
      <c r="D14" s="305"/>
      <c r="G14" s="7"/>
      <c r="H14" s="7"/>
    </row>
    <row r="15" spans="1:9" ht="16.7" customHeight="1" thickBot="1">
      <c r="A15" s="305"/>
      <c r="B15" s="305"/>
      <c r="D15" s="23"/>
      <c r="G15" s="7"/>
      <c r="H15" s="7"/>
    </row>
    <row r="16" spans="1:9" ht="18.75">
      <c r="A16" s="1008" t="s">
        <v>516</v>
      </c>
      <c r="B16" s="1008"/>
      <c r="C16" s="24"/>
      <c r="D16" s="23"/>
      <c r="E16" s="25"/>
      <c r="F16" s="25"/>
      <c r="G16" s="7"/>
      <c r="H16" s="7"/>
    </row>
    <row r="17" spans="1:8" ht="16.7" customHeight="1">
      <c r="A17" s="767" t="s">
        <v>24</v>
      </c>
      <c r="B17" s="768">
        <f>IF(B3="&lt;75",482,IF(B3="76-150",752,IF(B3="151-350",1193,IF(B3="&gt;350",2323,0))))</f>
        <v>1193</v>
      </c>
      <c r="C17" s="26"/>
      <c r="D17" s="23"/>
      <c r="E17" s="27"/>
      <c r="F17" s="28"/>
      <c r="G17" s="7"/>
      <c r="H17" s="7"/>
    </row>
    <row r="18" spans="1:8">
      <c r="A18" s="769" t="s">
        <v>517</v>
      </c>
      <c r="B18" s="768">
        <f>5*B17</f>
        <v>5965</v>
      </c>
      <c r="C18" s="24"/>
      <c r="D18" s="23"/>
      <c r="E18" s="29"/>
      <c r="F18" s="30"/>
      <c r="G18" s="7"/>
      <c r="H18" s="7"/>
    </row>
    <row r="19" spans="1:8">
      <c r="A19" s="769" t="s">
        <v>26</v>
      </c>
      <c r="B19" s="770">
        <f>IF(B4="Yes",275*5,0)</f>
        <v>1375</v>
      </c>
      <c r="C19" s="26"/>
      <c r="D19" s="23"/>
      <c r="E19" s="29"/>
      <c r="F19" s="31"/>
      <c r="G19" s="7"/>
      <c r="H19" s="7"/>
    </row>
    <row r="20" spans="1:8">
      <c r="A20" s="767" t="s">
        <v>31</v>
      </c>
      <c r="B20" s="771">
        <f>B18+B19</f>
        <v>7340</v>
      </c>
      <c r="E20" s="27"/>
      <c r="F20" s="30"/>
      <c r="G20" s="7"/>
      <c r="H20" s="7"/>
    </row>
    <row r="21" spans="1:8">
      <c r="A21" s="767" t="s">
        <v>514</v>
      </c>
      <c r="B21" s="772">
        <f>'Motor Home Page'!N1%*B20</f>
        <v>1321.2</v>
      </c>
      <c r="E21" s="27"/>
      <c r="F21" s="30"/>
      <c r="G21" s="7"/>
      <c r="H21" s="7"/>
    </row>
    <row r="22" spans="1:8" ht="15.75">
      <c r="A22" s="19" t="s">
        <v>29</v>
      </c>
      <c r="B22" s="339">
        <f>B20+B21</f>
        <v>8661.2000000000007</v>
      </c>
      <c r="E22" s="29"/>
      <c r="F22" s="31"/>
      <c r="G22" s="7"/>
      <c r="H22" s="7"/>
    </row>
    <row r="23" spans="1:8">
      <c r="A23" s="32"/>
      <c r="B23" s="32"/>
      <c r="C23" s="26"/>
      <c r="D23" s="23"/>
      <c r="E23" s="33"/>
      <c r="F23" s="34"/>
      <c r="G23" s="7"/>
      <c r="H23" s="7"/>
    </row>
    <row r="24" spans="1:8" ht="18.75">
      <c r="A24" s="32"/>
      <c r="B24" s="32"/>
      <c r="C24" s="26"/>
      <c r="D24" s="23"/>
      <c r="E24" s="33"/>
      <c r="F24" s="35"/>
      <c r="G24" s="7"/>
      <c r="H24" s="7"/>
    </row>
    <row r="25" spans="1:8">
      <c r="A25" s="32"/>
      <c r="B25" s="32"/>
      <c r="C25" s="26"/>
      <c r="D25" s="36"/>
      <c r="E25" s="37"/>
      <c r="F25" s="37"/>
      <c r="G25" s="7"/>
      <c r="H25" s="7"/>
    </row>
    <row r="26" spans="1:8" ht="18.75">
      <c r="A26" s="32"/>
      <c r="B26" s="32"/>
      <c r="C26" s="38"/>
      <c r="D26" s="23"/>
      <c r="E26" s="963"/>
      <c r="F26" s="963"/>
      <c r="G26" s="7"/>
      <c r="H26" s="7"/>
    </row>
    <row r="27" spans="1:8">
      <c r="A27" s="32"/>
      <c r="B27" s="32"/>
      <c r="C27" s="32"/>
      <c r="D27" s="39"/>
      <c r="E27" s="29"/>
      <c r="F27" s="30"/>
      <c r="G27" s="7"/>
      <c r="H27" s="7"/>
    </row>
    <row r="28" spans="1:8">
      <c r="A28" s="32"/>
      <c r="B28" s="32"/>
      <c r="C28" s="32"/>
      <c r="D28" s="39"/>
      <c r="E28" s="40"/>
      <c r="F28" s="41"/>
      <c r="G28" s="7"/>
      <c r="H28" s="7"/>
    </row>
    <row r="29" spans="1:8">
      <c r="A29" s="32"/>
      <c r="B29" s="32"/>
      <c r="C29" s="32"/>
      <c r="D29" s="39"/>
      <c r="E29" s="40"/>
      <c r="F29" s="41"/>
      <c r="G29" s="7"/>
      <c r="H29" s="7"/>
    </row>
    <row r="30" spans="1:8">
      <c r="A30" s="32"/>
      <c r="B30" s="32"/>
      <c r="C30" s="32"/>
      <c r="D30" s="39"/>
      <c r="E30" s="40"/>
      <c r="F30" s="41"/>
      <c r="G30" s="7"/>
      <c r="H30" s="7"/>
    </row>
    <row r="31" spans="1:8" ht="15.75">
      <c r="A31" s="32"/>
      <c r="B31" s="32"/>
      <c r="C31" s="32"/>
      <c r="D31" s="32"/>
      <c r="E31" s="42"/>
      <c r="F31" s="43"/>
    </row>
    <row r="32" spans="1:8" ht="15.75">
      <c r="A32" s="32"/>
      <c r="B32" s="32"/>
      <c r="C32" s="32"/>
      <c r="D32" s="32"/>
      <c r="E32" s="40"/>
      <c r="F32" s="43"/>
    </row>
    <row r="33" spans="1:6" ht="15" customHeight="1">
      <c r="A33" s="32"/>
      <c r="B33" s="32"/>
      <c r="C33" s="32"/>
      <c r="D33" s="32"/>
      <c r="E33" s="33"/>
      <c r="F33" s="44"/>
    </row>
    <row r="34" spans="1:6" ht="18.75">
      <c r="A34" s="32"/>
      <c r="B34" s="32"/>
      <c r="C34" s="32"/>
      <c r="D34" s="32"/>
      <c r="E34" s="45"/>
      <c r="F34" s="35"/>
    </row>
    <row r="35" spans="1:6">
      <c r="A35" s="32"/>
      <c r="B35" s="32"/>
      <c r="C35" s="32"/>
      <c r="D35" s="32"/>
      <c r="E35" s="28"/>
      <c r="F35" s="28"/>
    </row>
    <row r="36" spans="1:6">
      <c r="A36" s="32"/>
      <c r="B36" s="32"/>
      <c r="C36" s="32"/>
      <c r="D36" s="32"/>
      <c r="E36" s="28"/>
      <c r="F36" s="28"/>
    </row>
    <row r="37" spans="1:6">
      <c r="A37" s="32"/>
      <c r="B37" s="32"/>
      <c r="C37" s="32"/>
      <c r="D37" s="32"/>
      <c r="E37" s="28"/>
      <c r="F37" s="28"/>
    </row>
    <row r="38" spans="1:6">
      <c r="A38" s="32"/>
      <c r="B38" s="32"/>
      <c r="C38" s="32"/>
      <c r="D38" s="32"/>
      <c r="E38" s="28"/>
      <c r="F38" s="28"/>
    </row>
    <row r="39" spans="1:6">
      <c r="A39" s="32"/>
      <c r="B39" s="32"/>
      <c r="C39" s="32"/>
      <c r="D39" s="32"/>
      <c r="E39" s="28"/>
      <c r="F39" s="28"/>
    </row>
    <row r="40" spans="1:6">
      <c r="A40" s="32"/>
      <c r="B40" s="32"/>
      <c r="C40" s="32"/>
      <c r="D40" s="32"/>
      <c r="E40" s="28"/>
      <c r="F40" s="28"/>
    </row>
    <row r="41" spans="1:6">
      <c r="A41" s="32"/>
      <c r="B41" s="32"/>
      <c r="C41" s="32"/>
      <c r="D41" s="32"/>
      <c r="E41" s="28"/>
      <c r="F41" s="28"/>
    </row>
    <row r="42" spans="1:6">
      <c r="A42" s="32"/>
      <c r="B42" s="32"/>
      <c r="C42" s="32"/>
      <c r="D42" s="32"/>
      <c r="E42" s="28"/>
      <c r="F42" s="28"/>
    </row>
    <row r="43" spans="1:6">
      <c r="A43" s="32"/>
      <c r="B43" s="32"/>
      <c r="C43" s="32"/>
      <c r="D43" s="32"/>
      <c r="E43" s="28"/>
      <c r="F43" s="28"/>
    </row>
    <row r="44" spans="1:6">
      <c r="A44" s="32"/>
      <c r="B44" s="32"/>
      <c r="C44" s="32"/>
      <c r="D44" s="32"/>
      <c r="E44" s="28"/>
      <c r="F44" s="28"/>
    </row>
    <row r="45" spans="1:6">
      <c r="A45" s="32"/>
      <c r="B45" s="32"/>
      <c r="C45" s="32"/>
      <c r="D45" s="32"/>
      <c r="E45" s="28"/>
      <c r="F45" s="28"/>
    </row>
    <row r="46" spans="1:6">
      <c r="A46" s="32"/>
      <c r="B46" s="32"/>
      <c r="C46" s="32"/>
      <c r="D46" s="32"/>
      <c r="E46" s="28"/>
      <c r="F46" s="28"/>
    </row>
    <row r="47" spans="1:6">
      <c r="A47" s="32"/>
      <c r="B47" s="32"/>
      <c r="C47" s="32"/>
      <c r="D47" s="32"/>
      <c r="E47" s="28"/>
      <c r="F47" s="28"/>
    </row>
    <row r="48" spans="1:6">
      <c r="A48" s="32"/>
      <c r="B48" s="32"/>
      <c r="C48" s="32"/>
      <c r="D48" s="32"/>
      <c r="E48" s="28"/>
      <c r="F48" s="28"/>
    </row>
    <row r="49" spans="1:6">
      <c r="A49" s="32"/>
      <c r="B49" s="32"/>
      <c r="C49" s="32"/>
      <c r="D49" s="32"/>
      <c r="E49" s="304"/>
      <c r="F49" s="47"/>
    </row>
    <row r="50" spans="1:6">
      <c r="A50" s="32"/>
      <c r="B50" s="32"/>
      <c r="C50" s="32"/>
      <c r="D50" s="32"/>
      <c r="E50" s="48"/>
      <c r="F50" s="47"/>
    </row>
    <row r="51" spans="1:6">
      <c r="A51" s="32"/>
      <c r="B51" s="32"/>
      <c r="C51" s="32"/>
      <c r="D51" s="32"/>
      <c r="E51" s="28"/>
      <c r="F51" s="28"/>
    </row>
    <row r="52" spans="1:6">
      <c r="A52" s="32"/>
      <c r="B52" s="32"/>
      <c r="C52" s="32"/>
      <c r="D52" s="32"/>
      <c r="E52" s="28"/>
      <c r="F52" s="28"/>
    </row>
    <row r="53" spans="1:6">
      <c r="A53" s="32"/>
      <c r="B53" s="32"/>
      <c r="C53" s="32"/>
      <c r="D53" s="32"/>
      <c r="E53" s="28"/>
      <c r="F53" s="28"/>
    </row>
    <row r="54" spans="1:6">
      <c r="A54" s="32"/>
      <c r="B54" s="32"/>
      <c r="C54" s="32"/>
      <c r="D54" s="32"/>
      <c r="E54" s="28"/>
      <c r="F54" s="28"/>
    </row>
    <row r="55" spans="1:6">
      <c r="A55" s="32"/>
      <c r="B55" s="32"/>
      <c r="C55" s="32"/>
      <c r="D55" s="32"/>
      <c r="E55" s="28"/>
      <c r="F55" s="28"/>
    </row>
    <row r="56" spans="1:6">
      <c r="A56" s="32"/>
      <c r="B56" s="32"/>
      <c r="C56" s="32"/>
      <c r="D56" s="32"/>
      <c r="E56" s="28"/>
      <c r="F56" s="28"/>
    </row>
    <row r="57" spans="1:6">
      <c r="A57" s="32"/>
      <c r="B57" s="32"/>
      <c r="C57" s="32"/>
      <c r="D57" s="32"/>
      <c r="E57" s="28"/>
      <c r="F57" s="28"/>
    </row>
    <row r="58" spans="1:6">
      <c r="A58" s="32"/>
      <c r="B58" s="32"/>
      <c r="C58" s="32"/>
      <c r="D58" s="32"/>
      <c r="E58" s="28"/>
      <c r="F58" s="28"/>
    </row>
    <row r="59" spans="1:6">
      <c r="E59" s="28"/>
      <c r="F59" s="28"/>
    </row>
    <row r="60" spans="1:6">
      <c r="E60" s="28"/>
      <c r="F60" s="28"/>
    </row>
    <row r="61" spans="1:6">
      <c r="E61" s="28"/>
      <c r="F61" s="28"/>
    </row>
    <row r="62" spans="1:6">
      <c r="E62" s="28"/>
      <c r="F62" s="28"/>
    </row>
    <row r="63" spans="1:6">
      <c r="E63" s="28"/>
      <c r="F63" s="28"/>
    </row>
    <row r="64" spans="1:6">
      <c r="E64" s="28"/>
      <c r="F64" s="28"/>
    </row>
    <row r="65" spans="5:6">
      <c r="E65" s="28"/>
      <c r="F65" s="28"/>
    </row>
    <row r="66" spans="5:6">
      <c r="E66" s="28"/>
      <c r="F66" s="28"/>
    </row>
    <row r="67" spans="5:6">
      <c r="E67" s="28"/>
      <c r="F67" s="28"/>
    </row>
    <row r="68" spans="5:6">
      <c r="E68" s="28"/>
      <c r="F68" s="28"/>
    </row>
    <row r="69" spans="5:6">
      <c r="E69" s="28"/>
      <c r="F69" s="28"/>
    </row>
    <row r="70" spans="5:6">
      <c r="E70" s="28"/>
      <c r="F70" s="28"/>
    </row>
    <row r="71" spans="5:6">
      <c r="E71" s="28"/>
      <c r="F71" s="28"/>
    </row>
    <row r="72" spans="5:6">
      <c r="E72" s="28"/>
      <c r="F72" s="28"/>
    </row>
    <row r="73" spans="5:6">
      <c r="E73" s="28"/>
      <c r="F73" s="28"/>
    </row>
    <row r="74" spans="5:6">
      <c r="E74" s="28"/>
      <c r="F74" s="28"/>
    </row>
    <row r="75" spans="5:6">
      <c r="E75" s="28"/>
      <c r="F75" s="28"/>
    </row>
    <row r="76" spans="5:6">
      <c r="E76" s="28"/>
      <c r="F76" s="28"/>
    </row>
    <row r="77" spans="5:6">
      <c r="E77" s="28"/>
      <c r="F77" s="28"/>
    </row>
    <row r="78" spans="5:6">
      <c r="E78" s="28"/>
      <c r="F78" s="28"/>
    </row>
    <row r="79" spans="5:6">
      <c r="E79" s="28"/>
      <c r="F79" s="28"/>
    </row>
    <row r="80" spans="5:6">
      <c r="E80" s="28"/>
      <c r="F80" s="28"/>
    </row>
    <row r="81" spans="5:69">
      <c r="E81" s="28"/>
      <c r="F81" s="28"/>
    </row>
    <row r="82" spans="5:69">
      <c r="E82" s="28"/>
      <c r="F82" s="28"/>
    </row>
    <row r="83" spans="5:69">
      <c r="E83" s="28"/>
      <c r="F83" s="28"/>
    </row>
    <row r="84" spans="5:69">
      <c r="E84" s="28"/>
      <c r="F84" s="28"/>
    </row>
    <row r="85" spans="5:69">
      <c r="E85" s="28"/>
      <c r="F85" s="28"/>
    </row>
    <row r="86" spans="5:69">
      <c r="E86" s="28"/>
      <c r="F86" s="28"/>
    </row>
    <row r="87" spans="5:69">
      <c r="E87" s="28"/>
      <c r="F87" s="28"/>
    </row>
    <row r="88" spans="5:69">
      <c r="E88" s="28"/>
      <c r="F88" s="28"/>
    </row>
    <row r="89" spans="5:69">
      <c r="E89" s="28"/>
      <c r="F89" s="28"/>
    </row>
    <row r="90" spans="5:69">
      <c r="E90" s="28"/>
      <c r="F90" s="28"/>
    </row>
    <row r="91" spans="5:69">
      <c r="E91" s="28"/>
      <c r="F91" s="28"/>
    </row>
    <row r="92" spans="5:69">
      <c r="BG92" s="5">
        <f>IF(B4="&lt;5",BF99,IF(B4="5 to 10",BF100,IF(B4="&gt;10",BF101,0)))</f>
        <v>0</v>
      </c>
    </row>
    <row r="94" spans="5:69">
      <c r="BQ94" s="5" t="s">
        <v>36</v>
      </c>
    </row>
    <row r="96" spans="5:69">
      <c r="AX96" s="49"/>
      <c r="AY96" s="49"/>
      <c r="AZ96" s="49"/>
      <c r="BA96" s="49"/>
      <c r="BB96" s="49"/>
      <c r="BC96" s="49"/>
      <c r="BD96" s="49"/>
      <c r="BE96" s="49"/>
      <c r="BF96" s="49"/>
      <c r="BG96" s="49"/>
      <c r="BH96" s="49"/>
      <c r="BI96" s="49"/>
      <c r="BJ96" s="49"/>
      <c r="BK96" s="49"/>
    </row>
    <row r="97" spans="50:69">
      <c r="AX97" s="49"/>
      <c r="AY97" s="49"/>
      <c r="AZ97" s="49"/>
      <c r="BA97" s="49"/>
      <c r="BB97" s="49"/>
      <c r="BC97" s="49"/>
      <c r="BD97" s="49"/>
      <c r="BE97" s="49"/>
      <c r="BF97" s="49"/>
      <c r="BG97" s="989" t="s">
        <v>37</v>
      </c>
      <c r="BH97" s="989"/>
      <c r="BI97" s="989"/>
      <c r="BJ97" s="989"/>
      <c r="BK97" s="49"/>
      <c r="BN97" s="49"/>
      <c r="BO97" s="49"/>
    </row>
    <row r="98" spans="50:69">
      <c r="AX98" s="49"/>
      <c r="AY98" s="991" t="s">
        <v>38</v>
      </c>
      <c r="AZ98" s="991"/>
      <c r="BA98" s="49" t="s">
        <v>12</v>
      </c>
      <c r="BB98" s="49" t="s">
        <v>39</v>
      </c>
      <c r="BC98" s="49" t="s">
        <v>40</v>
      </c>
      <c r="BD98" s="49" t="s">
        <v>41</v>
      </c>
      <c r="BE98" s="49" t="s">
        <v>42</v>
      </c>
      <c r="BF98" s="49"/>
      <c r="BG98" s="49" t="s">
        <v>43</v>
      </c>
      <c r="BH98" s="49" t="s">
        <v>19</v>
      </c>
      <c r="BI98" s="50" t="s">
        <v>44</v>
      </c>
      <c r="BJ98" s="49" t="s">
        <v>45</v>
      </c>
      <c r="BK98" s="49"/>
      <c r="BN98" s="49"/>
      <c r="BO98" s="49"/>
    </row>
    <row r="99" spans="50:69">
      <c r="AX99" s="49"/>
      <c r="AY99" s="49" t="s">
        <v>46</v>
      </c>
      <c r="AZ99" s="49" t="e">
        <f>IF(B3="&lt;75",VLOOKUP(BG92,BF98:BJ101,3),IF(B3="76-150",VLOOKUP(BG92,BF98:BJ101,3),IF(B3="151-350",VLOOKUP(BG92,BF98:BJ101,4),IF(B3="&gt;350",VLOOKUP(BG92,BF98:BJ101,5),0))))</f>
        <v>#N/A</v>
      </c>
      <c r="BA99" s="49">
        <v>0</v>
      </c>
      <c r="BB99" s="49" t="s">
        <v>37</v>
      </c>
      <c r="BC99" s="49" t="s">
        <v>37</v>
      </c>
      <c r="BD99" s="49" t="s">
        <v>47</v>
      </c>
      <c r="BE99" s="49" t="s">
        <v>14</v>
      </c>
      <c r="BF99" s="49" t="s">
        <v>17</v>
      </c>
      <c r="BG99" s="51">
        <v>1.708</v>
      </c>
      <c r="BH99" s="51">
        <v>1.708</v>
      </c>
      <c r="BI99" s="51">
        <v>1.7930000000000001</v>
      </c>
      <c r="BJ99" s="51">
        <v>1.879</v>
      </c>
      <c r="BK99" s="49"/>
      <c r="BN99" s="49" t="s">
        <v>17</v>
      </c>
      <c r="BO99" s="49"/>
    </row>
    <row r="100" spans="50:69">
      <c r="AX100" s="49"/>
      <c r="AY100" s="49" t="s">
        <v>48</v>
      </c>
      <c r="AZ100" s="49" t="e">
        <f>IF(B3="&lt;75",VLOOKUP(BG92,BF104:BJ107,3),IF(B3="76-150",VLOOKUP(BG92,BF104:BJ107,3),IF(B3="151-350",VLOOKUP(BG92,BF104:BJ107,4),IF(B3="&gt;350",VLOOKUP(BG92,BF104:BJ107,5),0))))</f>
        <v>#N/A</v>
      </c>
      <c r="BA100" s="49">
        <v>20</v>
      </c>
      <c r="BB100" s="49" t="s">
        <v>49</v>
      </c>
      <c r="BC100" s="49" t="s">
        <v>49</v>
      </c>
      <c r="BD100" s="49" t="s">
        <v>19</v>
      </c>
      <c r="BE100" s="49" t="s">
        <v>50</v>
      </c>
      <c r="BF100" s="49" t="s">
        <v>51</v>
      </c>
      <c r="BG100" s="51">
        <v>1.7930000000000001</v>
      </c>
      <c r="BH100" s="51">
        <v>1.7930000000000001</v>
      </c>
      <c r="BI100" s="51">
        <v>1.883</v>
      </c>
      <c r="BJ100" s="51">
        <v>1.9729999999999999</v>
      </c>
      <c r="BK100" s="49"/>
      <c r="BN100" s="49" t="s">
        <v>51</v>
      </c>
      <c r="BO100" s="49"/>
    </row>
    <row r="101" spans="50:69">
      <c r="AX101" s="49"/>
      <c r="AY101" s="49"/>
      <c r="AZ101" s="49"/>
      <c r="BA101" s="49">
        <v>25</v>
      </c>
      <c r="BB101" s="49" t="s">
        <v>52</v>
      </c>
      <c r="BC101" s="49"/>
      <c r="BD101" s="49" t="s">
        <v>44</v>
      </c>
      <c r="BE101" s="49"/>
      <c r="BF101" s="49">
        <v>10.1</v>
      </c>
      <c r="BG101" s="51">
        <v>1.8359999999999999</v>
      </c>
      <c r="BH101" s="51">
        <v>1.8359999999999999</v>
      </c>
      <c r="BI101" s="51">
        <v>1.9279999999999999</v>
      </c>
      <c r="BJ101" s="51">
        <v>2.02</v>
      </c>
      <c r="BK101" s="49"/>
      <c r="BN101" s="49" t="s">
        <v>53</v>
      </c>
      <c r="BO101" s="49"/>
    </row>
    <row r="102" spans="50:69">
      <c r="AX102" s="49"/>
      <c r="AY102" s="49"/>
      <c r="AZ102" s="49"/>
      <c r="BA102" s="49">
        <v>35</v>
      </c>
      <c r="BB102" s="49"/>
      <c r="BC102" s="49"/>
      <c r="BD102" s="49" t="s">
        <v>45</v>
      </c>
      <c r="BE102" s="49"/>
      <c r="BF102" s="49"/>
      <c r="BG102" s="49"/>
      <c r="BH102" s="51"/>
      <c r="BI102" s="51"/>
      <c r="BJ102" s="51"/>
      <c r="BK102" s="49"/>
      <c r="BN102" s="49"/>
      <c r="BO102" s="49"/>
    </row>
    <row r="103" spans="50:69">
      <c r="AX103" s="49"/>
      <c r="AY103" s="49"/>
      <c r="AZ103" s="49"/>
      <c r="BA103" s="49">
        <v>45</v>
      </c>
      <c r="BB103" s="49"/>
      <c r="BC103" s="49"/>
      <c r="BD103" s="49"/>
      <c r="BE103" s="49"/>
      <c r="BF103" s="49"/>
      <c r="BG103" s="1007" t="s">
        <v>49</v>
      </c>
      <c r="BH103" s="1007"/>
      <c r="BI103" s="1007"/>
      <c r="BJ103" s="1007"/>
      <c r="BK103" s="49"/>
      <c r="BN103" s="49"/>
      <c r="BO103" s="49"/>
    </row>
    <row r="104" spans="50:69">
      <c r="AX104" s="49"/>
      <c r="AY104" s="49"/>
      <c r="AZ104" s="49"/>
      <c r="BA104" s="49">
        <v>50</v>
      </c>
      <c r="BB104" s="49"/>
      <c r="BC104" s="49"/>
      <c r="BD104" s="49"/>
      <c r="BE104" s="49"/>
      <c r="BF104" s="49"/>
      <c r="BG104" s="49" t="s">
        <v>47</v>
      </c>
      <c r="BH104" s="49" t="s">
        <v>19</v>
      </c>
      <c r="BI104" s="50" t="s">
        <v>44</v>
      </c>
      <c r="BJ104" s="49" t="s">
        <v>45</v>
      </c>
      <c r="BK104" s="49"/>
      <c r="BM104" s="52"/>
      <c r="BN104" s="52"/>
      <c r="BO104" s="52"/>
      <c r="BP104" s="53"/>
      <c r="BQ104" s="52"/>
    </row>
    <row r="105" spans="50:69">
      <c r="AX105" s="49"/>
      <c r="AY105" s="49"/>
      <c r="AZ105" s="49"/>
      <c r="BA105" s="49"/>
      <c r="BB105" s="49"/>
      <c r="BC105" s="49"/>
      <c r="BD105" s="49"/>
      <c r="BE105" s="49"/>
      <c r="BF105" s="49" t="s">
        <v>17</v>
      </c>
      <c r="BG105" s="51">
        <v>1.6760000000000002</v>
      </c>
      <c r="BH105" s="51">
        <v>1.6760000000000002</v>
      </c>
      <c r="BI105" s="51">
        <v>1.76</v>
      </c>
      <c r="BJ105" s="51">
        <v>1.8439999999999999</v>
      </c>
      <c r="BK105" s="49"/>
      <c r="BM105" s="52"/>
      <c r="BN105" s="54"/>
      <c r="BO105" s="54"/>
      <c r="BP105" s="54"/>
      <c r="BQ105" s="54"/>
    </row>
    <row r="106" spans="50:69">
      <c r="AX106" s="49"/>
      <c r="AY106" s="49"/>
      <c r="AZ106" s="49"/>
      <c r="BA106" s="49"/>
      <c r="BB106" s="49"/>
      <c r="BC106" s="49"/>
      <c r="BD106" s="49"/>
      <c r="BE106" s="49"/>
      <c r="BF106" s="49" t="s">
        <v>51</v>
      </c>
      <c r="BG106" s="51">
        <v>1.76</v>
      </c>
      <c r="BH106" s="51">
        <v>1.76</v>
      </c>
      <c r="BI106" s="51">
        <v>1.8479999999999999</v>
      </c>
      <c r="BJ106" s="51">
        <v>1.9359999999999999</v>
      </c>
      <c r="BK106" s="49"/>
      <c r="BM106" s="52"/>
      <c r="BN106" s="54"/>
      <c r="BO106" s="54"/>
      <c r="BP106" s="54"/>
      <c r="BQ106" s="54"/>
    </row>
    <row r="107" spans="50:69">
      <c r="AX107" s="49"/>
      <c r="AY107" s="49"/>
      <c r="AZ107" s="49"/>
      <c r="BA107" s="49"/>
      <c r="BB107" s="49"/>
      <c r="BC107" s="49"/>
      <c r="BD107" s="49"/>
      <c r="BE107" s="49"/>
      <c r="BF107" s="49">
        <v>10.1</v>
      </c>
      <c r="BG107" s="51">
        <v>1.802</v>
      </c>
      <c r="BH107" s="51">
        <v>1.802</v>
      </c>
      <c r="BI107" s="51">
        <v>1.8919999999999999</v>
      </c>
      <c r="BJ107" s="51">
        <v>1.982</v>
      </c>
      <c r="BK107" s="49"/>
      <c r="BM107" s="52"/>
      <c r="BN107" s="54"/>
      <c r="BO107" s="54"/>
      <c r="BP107" s="54"/>
      <c r="BQ107" s="54"/>
    </row>
    <row r="108" spans="50:69">
      <c r="AX108" s="49"/>
      <c r="AY108" s="49"/>
      <c r="AZ108" s="49"/>
      <c r="BA108" s="49"/>
      <c r="BB108" s="49"/>
      <c r="BC108" s="49"/>
      <c r="BD108" s="49"/>
      <c r="BE108" s="49"/>
      <c r="BF108" s="49"/>
      <c r="BG108" s="55"/>
      <c r="BH108" s="56"/>
      <c r="BI108" s="56"/>
      <c r="BJ108" s="56"/>
      <c r="BK108" s="49"/>
      <c r="BM108" s="52"/>
      <c r="BN108" s="52"/>
      <c r="BO108" s="52"/>
    </row>
    <row r="109" spans="50:69">
      <c r="AX109" s="49"/>
      <c r="AY109" s="49"/>
      <c r="AZ109" s="49"/>
      <c r="BA109" s="49"/>
      <c r="BB109" s="49"/>
      <c r="BC109" s="49"/>
      <c r="BD109" s="49"/>
      <c r="BE109" s="49"/>
      <c r="BF109" s="49"/>
      <c r="BG109" s="49"/>
      <c r="BH109" s="49"/>
      <c r="BI109" s="49"/>
      <c r="BJ109" s="49"/>
      <c r="BK109" s="49"/>
    </row>
    <row r="110" spans="50:69">
      <c r="AX110" s="49"/>
      <c r="AY110" s="49"/>
      <c r="AZ110" s="49"/>
      <c r="BA110" s="49"/>
      <c r="BB110" s="49"/>
      <c r="BC110" s="49"/>
      <c r="BD110" s="49"/>
      <c r="BE110" s="49"/>
      <c r="BF110" s="49"/>
      <c r="BG110" s="49"/>
      <c r="BH110" s="49"/>
      <c r="BI110" s="49"/>
      <c r="BJ110" s="49"/>
      <c r="BK110" s="49"/>
    </row>
    <row r="161" spans="69:77">
      <c r="BQ161" s="57"/>
      <c r="BR161" s="57"/>
      <c r="BS161" s="57"/>
      <c r="BT161" s="57"/>
      <c r="BU161" s="57"/>
      <c r="BV161" s="57"/>
      <c r="BW161" s="57"/>
      <c r="BX161" s="57"/>
      <c r="BY161" s="57"/>
    </row>
    <row r="162" spans="69:77" ht="12.95" customHeight="1">
      <c r="BQ162" s="57"/>
      <c r="BR162" s="301"/>
      <c r="BS162" s="973" t="s">
        <v>49</v>
      </c>
      <c r="BT162" s="973"/>
      <c r="BU162" s="973"/>
      <c r="BV162" s="973" t="s">
        <v>37</v>
      </c>
      <c r="BW162" s="973"/>
      <c r="BX162" s="973"/>
      <c r="BY162" s="57"/>
    </row>
    <row r="163" spans="69:77">
      <c r="BQ163" s="57"/>
      <c r="BR163" s="301" t="s">
        <v>54</v>
      </c>
      <c r="BS163" s="973"/>
      <c r="BT163" s="973"/>
      <c r="BU163" s="973"/>
      <c r="BV163" s="973"/>
      <c r="BW163" s="973"/>
      <c r="BX163" s="973"/>
      <c r="BY163" s="57"/>
    </row>
    <row r="164" spans="69:77">
      <c r="BQ164" s="57"/>
      <c r="BR164" s="301" t="s">
        <v>55</v>
      </c>
      <c r="BS164" s="973"/>
      <c r="BT164" s="973"/>
      <c r="BU164" s="973"/>
      <c r="BV164" s="973"/>
      <c r="BW164" s="973"/>
      <c r="BX164" s="973"/>
      <c r="BY164" s="57"/>
    </row>
    <row r="165" spans="69:77" ht="15" customHeight="1">
      <c r="BQ165" s="57"/>
      <c r="BR165" s="301" t="s">
        <v>56</v>
      </c>
      <c r="BS165" s="970" t="s">
        <v>57</v>
      </c>
      <c r="BT165" s="970"/>
      <c r="BU165" s="970"/>
      <c r="BV165" s="970"/>
      <c r="BW165" s="970"/>
      <c r="BX165" s="970"/>
      <c r="BY165" s="57"/>
    </row>
    <row r="166" spans="69:77" ht="15" customHeight="1">
      <c r="BQ166" s="57"/>
      <c r="BR166" s="301" t="s">
        <v>58</v>
      </c>
      <c r="BS166" s="970" t="s">
        <v>59</v>
      </c>
      <c r="BT166" s="970"/>
      <c r="BU166" s="970"/>
      <c r="BV166" s="970" t="s">
        <v>59</v>
      </c>
      <c r="BW166" s="970"/>
      <c r="BX166" s="970"/>
      <c r="BY166" s="57"/>
    </row>
    <row r="167" spans="69:77" ht="15.75" customHeight="1">
      <c r="BQ167" s="57"/>
      <c r="BR167" s="302"/>
      <c r="BS167" s="971"/>
      <c r="BT167" s="971"/>
      <c r="BU167" s="971"/>
      <c r="BV167" s="972"/>
      <c r="BW167" s="972"/>
      <c r="BX167" s="972"/>
      <c r="BY167" s="57"/>
    </row>
    <row r="168" spans="69:77" ht="12.95" customHeight="1">
      <c r="BQ168" s="57"/>
      <c r="BR168" s="302"/>
      <c r="BS168" s="303" t="s">
        <v>60</v>
      </c>
      <c r="BT168" s="969" t="s">
        <v>61</v>
      </c>
      <c r="BU168" s="969" t="s">
        <v>62</v>
      </c>
      <c r="BV168" s="303" t="s">
        <v>60</v>
      </c>
      <c r="BW168" s="969" t="s">
        <v>61</v>
      </c>
      <c r="BX168" s="969" t="s">
        <v>62</v>
      </c>
      <c r="BY168" s="57"/>
    </row>
    <row r="169" spans="69:77">
      <c r="BQ169" s="57"/>
      <c r="BR169" s="302"/>
      <c r="BS169" s="303" t="s">
        <v>63</v>
      </c>
      <c r="BT169" s="969"/>
      <c r="BU169" s="969"/>
      <c r="BV169" s="303" t="s">
        <v>63</v>
      </c>
      <c r="BW169" s="969"/>
      <c r="BX169" s="969"/>
      <c r="BY169" s="57"/>
    </row>
    <row r="170" spans="69:77" ht="22.5">
      <c r="BQ170" s="57"/>
      <c r="BR170" s="306" t="s">
        <v>64</v>
      </c>
      <c r="BS170" s="301" t="s">
        <v>65</v>
      </c>
      <c r="BT170" s="301" t="s">
        <v>66</v>
      </c>
      <c r="BU170" s="301" t="s">
        <v>67</v>
      </c>
      <c r="BV170" s="301" t="s">
        <v>68</v>
      </c>
      <c r="BW170" s="301" t="s">
        <v>69</v>
      </c>
      <c r="BX170" s="301" t="s">
        <v>70</v>
      </c>
      <c r="BY170" s="57"/>
    </row>
    <row r="171" spans="69:77">
      <c r="BQ171" s="57"/>
      <c r="BR171" s="63" t="s">
        <v>71</v>
      </c>
      <c r="BS171" s="301"/>
      <c r="BT171" s="301"/>
      <c r="BU171" s="301"/>
      <c r="BV171" s="301"/>
      <c r="BW171" s="301"/>
      <c r="BX171" s="301"/>
      <c r="BY171" s="57"/>
    </row>
    <row r="172" spans="69:77" ht="45">
      <c r="BQ172" s="57"/>
      <c r="BR172" s="306" t="s">
        <v>72</v>
      </c>
      <c r="BS172" s="301" t="s">
        <v>66</v>
      </c>
      <c r="BT172" s="301" t="s">
        <v>73</v>
      </c>
      <c r="BU172" s="301" t="s">
        <v>74</v>
      </c>
      <c r="BV172" s="301" t="s">
        <v>69</v>
      </c>
      <c r="BW172" s="301" t="s">
        <v>75</v>
      </c>
      <c r="BX172" s="301" t="s">
        <v>76</v>
      </c>
      <c r="BY172" s="57"/>
    </row>
    <row r="173" spans="69:77" ht="22.5">
      <c r="BQ173" s="57"/>
      <c r="BR173" s="306" t="s">
        <v>77</v>
      </c>
      <c r="BS173" s="301" t="s">
        <v>78</v>
      </c>
      <c r="BT173" s="301" t="s">
        <v>79</v>
      </c>
      <c r="BU173" s="301" t="s">
        <v>80</v>
      </c>
      <c r="BV173" s="301" t="s">
        <v>81</v>
      </c>
      <c r="BW173" s="301" t="s">
        <v>82</v>
      </c>
      <c r="BX173" s="301" t="s">
        <v>83</v>
      </c>
      <c r="BY173" s="57"/>
    </row>
    <row r="174" spans="69:77">
      <c r="BQ174" s="57"/>
      <c r="BR174" s="57"/>
      <c r="BS174" s="57"/>
      <c r="BT174" s="57"/>
      <c r="BU174" s="57"/>
      <c r="BV174" s="57"/>
      <c r="BW174" s="57"/>
      <c r="BX174" s="57"/>
      <c r="BY174" s="57"/>
    </row>
    <row r="175" spans="69:77">
      <c r="BQ175" s="57"/>
      <c r="BR175" s="57"/>
      <c r="BS175" s="57"/>
      <c r="BT175" s="57"/>
      <c r="BU175" s="57"/>
      <c r="BV175" s="57"/>
      <c r="BW175" s="57"/>
      <c r="BX175" s="57"/>
      <c r="BY175" s="57"/>
    </row>
    <row r="176" spans="69:77">
      <c r="BQ176" s="57"/>
      <c r="BR176" s="57"/>
      <c r="BS176" s="57"/>
      <c r="BT176" s="57"/>
      <c r="BU176" s="57"/>
      <c r="BV176" s="57"/>
      <c r="BW176" s="57"/>
      <c r="BX176" s="57"/>
      <c r="BY176" s="57"/>
    </row>
    <row r="177" spans="69:77">
      <c r="BQ177" s="57"/>
      <c r="BR177" s="57"/>
      <c r="BS177" s="57"/>
      <c r="BT177" s="57"/>
      <c r="BU177" s="57"/>
      <c r="BV177" s="57"/>
      <c r="BW177" s="57"/>
      <c r="BX177" s="57"/>
      <c r="BY177" s="57"/>
    </row>
    <row r="178" spans="69:77">
      <c r="BQ178" s="57"/>
      <c r="BR178" s="57"/>
      <c r="BS178" s="57"/>
      <c r="BT178" s="57"/>
      <c r="BU178" s="57"/>
      <c r="BV178" s="57"/>
      <c r="BW178" s="57"/>
      <c r="BX178" s="57"/>
      <c r="BY178" s="57"/>
    </row>
    <row r="179" spans="69:77">
      <c r="BQ179" s="57"/>
      <c r="BR179" s="57"/>
      <c r="BS179" s="57"/>
      <c r="BT179" s="57"/>
      <c r="BU179" s="57"/>
      <c r="BV179" s="57"/>
      <c r="BW179" s="57"/>
      <c r="BX179" s="57"/>
      <c r="BY179" s="57"/>
    </row>
    <row r="180" spans="69:77">
      <c r="BQ180" s="57"/>
      <c r="BR180" s="57"/>
      <c r="BS180" s="57"/>
      <c r="BT180" s="57"/>
      <c r="BU180" s="57"/>
      <c r="BV180" s="57"/>
      <c r="BW180" s="57"/>
      <c r="BX180" s="57"/>
      <c r="BY180" s="57"/>
    </row>
  </sheetData>
  <sheetProtection password="F7EB" sheet="1" objects="1" scenarios="1"/>
  <mergeCells count="28">
    <mergeCell ref="A16:B16"/>
    <mergeCell ref="A7:B7"/>
    <mergeCell ref="C7:D7"/>
    <mergeCell ref="E7:F7"/>
    <mergeCell ref="A1:F1"/>
    <mergeCell ref="A2:B2"/>
    <mergeCell ref="C2:D2"/>
    <mergeCell ref="E2:F2"/>
    <mergeCell ref="E3:F3"/>
    <mergeCell ref="BS166:BU166"/>
    <mergeCell ref="BV166:BX166"/>
    <mergeCell ref="E8:F8"/>
    <mergeCell ref="E9:F9"/>
    <mergeCell ref="E10:F10"/>
    <mergeCell ref="E26:F26"/>
    <mergeCell ref="BG97:BJ97"/>
    <mergeCell ref="AY98:AZ98"/>
    <mergeCell ref="BG103:BJ103"/>
    <mergeCell ref="BS162:BU164"/>
    <mergeCell ref="BV162:BX164"/>
    <mergeCell ref="BS165:BU165"/>
    <mergeCell ref="BV165:BX165"/>
    <mergeCell ref="BS167:BU167"/>
    <mergeCell ref="BV167:BX167"/>
    <mergeCell ref="BT168:BT169"/>
    <mergeCell ref="BU168:BU169"/>
    <mergeCell ref="BW168:BW169"/>
    <mergeCell ref="BX168:BX169"/>
  </mergeCells>
  <dataValidations count="2">
    <dataValidation type="list" operator="equal" allowBlank="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"&lt;75,76-150,151-350,&gt;350"</formula1>
      <formula2>0</formula2>
    </dataValidation>
    <dataValidation type="list" operator="equal" allowBlank="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"Yes,No"</formula1>
      <formula2>0</formula2>
    </dataValidation>
  </dataValidations>
  <hyperlinks>
    <hyperlink ref="E3" location="Motor Home Page!a1" display="Motor Home Page"/>
  </hyperlinks>
  <pageMargins left="0.70866141732283472" right="0.70866141732283472" top="0.74803149606299213" bottom="0.74803149606299213" header="0.31496062992125984" footer="0.51181102362204722"/>
  <pageSetup scale="95" firstPageNumber="0" orientation="landscape" horizontalDpi="300" verticalDpi="300" r:id="rId1"/>
  <headerFooter alignWithMargins="0">
    <oddHeader>&amp;L&amp;"Calibri,Regular"&amp;11Designed By Prashanth Komarraju</oddHeader>
  </headerFooter>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291"/>
  <sheetViews>
    <sheetView zoomScaleNormal="100" zoomScaleSheetLayoutView="33" workbookViewId="0">
      <selection activeCell="B3" sqref="B3"/>
    </sheetView>
  </sheetViews>
  <sheetFormatPr defaultColWidth="9.42578125" defaultRowHeight="15"/>
  <cols>
    <col min="1" max="1" width="34.28515625" style="5" customWidth="1"/>
    <col min="2" max="2" width="21.140625" style="5" customWidth="1"/>
    <col min="3" max="3" width="36.140625" style="5" customWidth="1"/>
    <col min="4" max="4" width="12.7109375" style="5" customWidth="1"/>
    <col min="5" max="5" width="40" style="5" customWidth="1"/>
    <col min="6" max="6" width="15.7109375" style="5" customWidth="1"/>
    <col min="7" max="7" width="25.7109375" style="52" customWidth="1"/>
    <col min="8" max="8" width="13" style="5" customWidth="1"/>
    <col min="9" max="9" width="16.28515625" style="5" customWidth="1"/>
    <col min="10" max="10" width="24.42578125" style="5" customWidth="1"/>
    <col min="11" max="46" width="9.42578125" style="5"/>
    <col min="47" max="47" width="7" style="5" customWidth="1"/>
    <col min="48" max="49" width="12.28515625" style="5" customWidth="1"/>
    <col min="50" max="50" width="29.42578125" style="5" customWidth="1"/>
    <col min="51" max="68" width="9.42578125" style="5"/>
    <col min="69" max="69" width="12.5703125" style="5" customWidth="1"/>
    <col min="70" max="70" width="12.7109375" style="5" customWidth="1"/>
    <col min="71" max="71" width="15.5703125" style="5" customWidth="1"/>
    <col min="72" max="72" width="11.85546875" style="5" customWidth="1"/>
    <col min="73" max="73" width="2.140625" style="5" customWidth="1"/>
    <col min="74" max="74" width="14.5703125" style="5" customWidth="1"/>
    <col min="75" max="79" width="9.42578125" style="5"/>
    <col min="80" max="80" width="25.42578125" style="5" customWidth="1"/>
    <col min="81" max="16384" width="9.42578125" style="5"/>
  </cols>
  <sheetData>
    <row r="1" spans="1:80" s="7" customFormat="1" ht="32.85" customHeight="1">
      <c r="A1" s="1035" t="s">
        <v>551</v>
      </c>
      <c r="B1" s="1035"/>
      <c r="C1" s="1035"/>
      <c r="D1" s="1035"/>
      <c r="E1" s="1035"/>
      <c r="F1" s="1035"/>
      <c r="G1" s="64"/>
      <c r="H1" s="1036" t="s">
        <v>5</v>
      </c>
      <c r="I1" s="1036"/>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row>
    <row r="2" spans="1:80" s="7" customFormat="1" ht="19.5" customHeight="1">
      <c r="A2" s="1037" t="s">
        <v>636</v>
      </c>
      <c r="B2" s="1037"/>
      <c r="C2" s="1038" t="s">
        <v>637</v>
      </c>
      <c r="D2" s="1038"/>
      <c r="E2" s="1039"/>
      <c r="F2" s="1039"/>
      <c r="G2" s="64"/>
      <c r="H2" s="360"/>
      <c r="I2" s="361"/>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row>
    <row r="3" spans="1:80" s="7" customFormat="1" ht="32.85" customHeight="1">
      <c r="A3" s="540" t="s">
        <v>6</v>
      </c>
      <c r="B3" s="853">
        <v>767600</v>
      </c>
      <c r="C3" s="541" t="s">
        <v>7</v>
      </c>
      <c r="D3" s="363">
        <v>68</v>
      </c>
      <c r="E3" s="541" t="s">
        <v>8</v>
      </c>
      <c r="F3" s="362">
        <v>0</v>
      </c>
      <c r="G3" s="64"/>
      <c r="H3" s="1026" t="s">
        <v>452</v>
      </c>
      <c r="I3" s="1026"/>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row>
    <row r="4" spans="1:80" s="7" customFormat="1" ht="23.1" customHeight="1">
      <c r="A4" s="541" t="s">
        <v>10</v>
      </c>
      <c r="B4" s="597" t="s">
        <v>46</v>
      </c>
      <c r="C4" s="542" t="s">
        <v>453</v>
      </c>
      <c r="D4" s="600">
        <v>0</v>
      </c>
      <c r="E4" s="657" t="s">
        <v>551</v>
      </c>
      <c r="F4" s="597" t="s">
        <v>657</v>
      </c>
      <c r="G4" s="64"/>
      <c r="H4" s="1026" t="s">
        <v>15</v>
      </c>
      <c r="I4" s="1026"/>
      <c r="J4" s="64"/>
      <c r="K4" s="64"/>
      <c r="L4" s="64"/>
      <c r="M4" s="64"/>
      <c r="N4" s="64"/>
      <c r="O4" s="64"/>
      <c r="P4" s="64"/>
      <c r="Q4" s="64"/>
      <c r="R4" s="64"/>
      <c r="S4" s="64"/>
      <c r="T4" s="64"/>
      <c r="U4" s="64"/>
      <c r="V4" s="64"/>
      <c r="W4" s="64"/>
      <c r="X4" s="64"/>
      <c r="Y4" s="64"/>
      <c r="Z4" s="64"/>
      <c r="AA4" s="64"/>
      <c r="AB4" s="64"/>
      <c r="AC4" s="64"/>
      <c r="AD4" s="64"/>
      <c r="AE4" s="64"/>
      <c r="AF4" s="64"/>
      <c r="AG4" s="64"/>
      <c r="AH4" s="543"/>
      <c r="AI4" s="543"/>
      <c r="AJ4" s="543"/>
      <c r="AK4" s="543"/>
      <c r="AL4" s="543"/>
      <c r="AM4" s="543"/>
      <c r="AN4" s="543"/>
      <c r="AO4" s="543"/>
      <c r="AP4" s="543"/>
      <c r="AQ4" s="543"/>
      <c r="AR4" s="543"/>
      <c r="AS4" s="543"/>
      <c r="AT4" s="543"/>
      <c r="AU4" s="543"/>
      <c r="AV4" s="543"/>
      <c r="AW4" s="543"/>
      <c r="AX4" s="543"/>
      <c r="AY4" s="543"/>
      <c r="AZ4" s="543"/>
      <c r="BA4" s="543"/>
      <c r="BB4" s="543"/>
      <c r="BC4" s="543"/>
      <c r="BD4" s="543"/>
      <c r="BE4" s="543"/>
      <c r="BF4" s="543"/>
      <c r="BG4" s="543"/>
      <c r="BH4" s="543"/>
      <c r="BI4" s="543"/>
      <c r="BJ4" s="543"/>
      <c r="BK4" s="543"/>
      <c r="BL4" s="543"/>
      <c r="BM4" s="543"/>
      <c r="BN4" s="543"/>
      <c r="BO4" s="543"/>
      <c r="BP4" s="543"/>
      <c r="BQ4" s="543"/>
      <c r="BR4" s="92"/>
      <c r="BS4" s="92"/>
      <c r="BT4" s="92"/>
      <c r="BU4" s="92"/>
      <c r="BV4" s="92"/>
      <c r="BW4" s="92"/>
      <c r="BX4" s="92"/>
      <c r="BY4" s="92"/>
      <c r="BZ4" s="92"/>
      <c r="CA4" s="92"/>
      <c r="CB4" s="92"/>
    </row>
    <row r="5" spans="1:80" s="7" customFormat="1" ht="29.85" customHeight="1">
      <c r="A5" s="544" t="s">
        <v>16</v>
      </c>
      <c r="B5" s="598" t="s">
        <v>336</v>
      </c>
      <c r="C5" s="541" t="s">
        <v>18</v>
      </c>
      <c r="D5" s="601" t="s">
        <v>93</v>
      </c>
      <c r="E5" s="541" t="s">
        <v>136</v>
      </c>
      <c r="F5" s="365">
        <v>6</v>
      </c>
      <c r="G5" s="64"/>
      <c r="H5" s="1026" t="s">
        <v>632</v>
      </c>
      <c r="I5" s="1026"/>
      <c r="J5" s="64"/>
      <c r="K5" s="64"/>
      <c r="L5" s="64"/>
      <c r="M5" s="64"/>
      <c r="N5" s="64"/>
      <c r="O5" s="64"/>
      <c r="P5" s="64"/>
      <c r="Q5" s="64"/>
      <c r="R5" s="64"/>
      <c r="S5" s="64"/>
      <c r="T5" s="64"/>
      <c r="U5" s="64"/>
      <c r="V5" s="64"/>
      <c r="W5" s="64"/>
      <c r="X5" s="64"/>
      <c r="Y5" s="64"/>
      <c r="Z5" s="64"/>
      <c r="AA5" s="64"/>
      <c r="AB5" s="64"/>
      <c r="AC5" s="64"/>
      <c r="AD5" s="64"/>
      <c r="AE5" s="64"/>
      <c r="AF5" s="64"/>
      <c r="AG5" s="64"/>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92"/>
      <c r="BS5" s="92"/>
      <c r="BT5" s="92"/>
      <c r="BU5" s="92"/>
      <c r="BV5" s="92"/>
      <c r="BW5" s="92"/>
      <c r="BX5" s="92"/>
      <c r="BY5" s="92"/>
      <c r="BZ5" s="92"/>
      <c r="CA5" s="92"/>
      <c r="CB5" s="92"/>
    </row>
    <row r="6" spans="1:80" ht="54" customHeight="1">
      <c r="A6" s="545" t="s">
        <v>454</v>
      </c>
      <c r="B6" s="597" t="s">
        <v>50</v>
      </c>
      <c r="C6" s="545" t="s">
        <v>455</v>
      </c>
      <c r="D6" s="362">
        <v>0</v>
      </c>
      <c r="E6" s="842" t="s">
        <v>612</v>
      </c>
      <c r="F6" s="363">
        <v>0</v>
      </c>
      <c r="G6" s="546"/>
      <c r="H6" s="1026" t="s">
        <v>483</v>
      </c>
      <c r="I6" s="1026"/>
      <c r="J6" s="52"/>
      <c r="K6" s="52"/>
      <c r="L6" s="52"/>
      <c r="M6" s="52"/>
      <c r="N6" s="52"/>
      <c r="O6" s="52"/>
      <c r="P6" s="52"/>
      <c r="Q6" s="52"/>
      <c r="R6" s="52"/>
      <c r="S6" s="52"/>
      <c r="T6" s="52"/>
      <c r="U6" s="52"/>
      <c r="V6" s="52"/>
      <c r="W6" s="52"/>
      <c r="X6" s="52"/>
      <c r="Y6" s="52"/>
      <c r="Z6" s="52"/>
      <c r="AA6" s="52"/>
      <c r="AB6" s="52"/>
      <c r="AC6" s="52"/>
      <c r="AD6" s="52"/>
      <c r="AE6" s="52"/>
      <c r="AF6" s="52"/>
      <c r="AG6" s="52"/>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94"/>
      <c r="BS6" s="94"/>
      <c r="BT6" s="94"/>
      <c r="BU6" s="94"/>
      <c r="BV6" s="94"/>
      <c r="BW6" s="94"/>
      <c r="BX6" s="94"/>
      <c r="BY6" s="94"/>
      <c r="BZ6" s="94"/>
      <c r="CA6" s="94"/>
      <c r="CB6" s="94"/>
    </row>
    <row r="7" spans="1:80" ht="29.1" customHeight="1">
      <c r="A7" s="547" t="s">
        <v>456</v>
      </c>
      <c r="B7" s="597" t="s">
        <v>50</v>
      </c>
      <c r="C7" s="548" t="s">
        <v>457</v>
      </c>
      <c r="D7" s="363">
        <v>0</v>
      </c>
      <c r="E7" s="540" t="s">
        <v>458</v>
      </c>
      <c r="F7" s="597" t="s">
        <v>50</v>
      </c>
      <c r="G7" s="97"/>
      <c r="J7" s="97"/>
      <c r="K7" s="97"/>
      <c r="L7" s="97"/>
      <c r="M7" s="97"/>
      <c r="N7" s="97"/>
      <c r="O7" s="97"/>
      <c r="P7" s="97"/>
      <c r="Q7" s="97"/>
      <c r="R7" s="97"/>
      <c r="S7" s="97"/>
      <c r="T7" s="97"/>
      <c r="U7" s="97"/>
      <c r="V7" s="97"/>
      <c r="W7" s="97"/>
      <c r="X7" s="97"/>
      <c r="Y7" s="97"/>
      <c r="Z7" s="97"/>
      <c r="AA7" s="97"/>
      <c r="AB7" s="97"/>
      <c r="AC7" s="97"/>
      <c r="AD7" s="97"/>
      <c r="AE7" s="97"/>
      <c r="AF7" s="97"/>
      <c r="AG7" s="97"/>
      <c r="AH7" s="549"/>
      <c r="AI7" s="549"/>
      <c r="AJ7" s="549"/>
      <c r="AK7" s="549"/>
      <c r="AL7" s="549"/>
      <c r="AM7" s="549"/>
      <c r="AN7" s="549"/>
      <c r="AO7" s="549"/>
      <c r="AP7" s="549"/>
      <c r="AQ7" s="549"/>
      <c r="AR7" s="549"/>
      <c r="AS7" s="549"/>
      <c r="AT7" s="549"/>
      <c r="AU7" s="549"/>
      <c r="AV7" s="549"/>
      <c r="AW7" s="549"/>
      <c r="AX7" s="549"/>
      <c r="AY7" s="549"/>
      <c r="AZ7" s="549"/>
      <c r="BA7" s="549"/>
      <c r="BB7" s="549"/>
      <c r="BC7" s="549"/>
      <c r="BD7" s="549"/>
      <c r="BE7" s="549"/>
      <c r="BF7" s="549"/>
      <c r="BG7" s="549"/>
      <c r="BH7" s="549"/>
      <c r="BI7" s="549"/>
      <c r="BJ7" s="549"/>
      <c r="BK7" s="549"/>
      <c r="BL7" s="549"/>
      <c r="BM7" s="549"/>
      <c r="BN7" s="549"/>
      <c r="BO7" s="549"/>
      <c r="BP7" s="549"/>
      <c r="BQ7" s="549"/>
      <c r="BR7" s="95"/>
      <c r="BS7" s="95"/>
      <c r="BT7" s="95"/>
      <c r="BU7" s="95"/>
      <c r="BV7" s="95"/>
      <c r="BW7" s="95"/>
      <c r="BX7" s="95"/>
      <c r="BY7" s="95"/>
      <c r="BZ7" s="95"/>
      <c r="CA7" s="95"/>
      <c r="CB7" s="95"/>
    </row>
    <row r="8" spans="1:80" ht="33" customHeight="1">
      <c r="A8" s="550" t="s">
        <v>490</v>
      </c>
      <c r="B8" s="362">
        <v>0</v>
      </c>
      <c r="C8" s="551" t="s">
        <v>459</v>
      </c>
      <c r="D8" s="597" t="s">
        <v>50</v>
      </c>
      <c r="E8" s="541" t="s">
        <v>491</v>
      </c>
      <c r="F8" s="597">
        <v>0</v>
      </c>
      <c r="J8" s="97"/>
      <c r="K8" s="97"/>
      <c r="L8" s="97"/>
      <c r="M8" s="97"/>
      <c r="N8" s="97"/>
      <c r="O8" s="97"/>
      <c r="P8" s="97"/>
      <c r="Q8" s="97"/>
      <c r="R8" s="97"/>
      <c r="S8" s="97"/>
      <c r="T8" s="97"/>
      <c r="U8" s="97"/>
      <c r="V8" s="97"/>
      <c r="W8" s="97"/>
      <c r="X8" s="97"/>
      <c r="Y8" s="97"/>
      <c r="Z8" s="97"/>
      <c r="AA8" s="97"/>
      <c r="AB8" s="97"/>
      <c r="AC8" s="97"/>
      <c r="AD8" s="97"/>
      <c r="AE8" s="97"/>
      <c r="AF8" s="97"/>
      <c r="AG8" s="97"/>
      <c r="AH8" s="549"/>
      <c r="AI8" s="549"/>
      <c r="AJ8" s="549"/>
      <c r="AK8" s="549"/>
      <c r="AL8" s="549"/>
      <c r="AM8" s="549"/>
      <c r="AN8" s="549"/>
      <c r="AO8" s="549"/>
      <c r="AP8" s="549"/>
      <c r="AQ8" s="549"/>
      <c r="AR8" s="549"/>
      <c r="AS8" s="549"/>
      <c r="AT8" s="549"/>
      <c r="AU8" s="549"/>
      <c r="AV8" s="549"/>
      <c r="AW8" s="549"/>
      <c r="AX8" s="549"/>
      <c r="AY8" s="549"/>
      <c r="AZ8" s="549"/>
      <c r="BA8" s="549"/>
      <c r="BB8" s="549"/>
      <c r="BC8" s="549"/>
      <c r="BD8" s="549"/>
      <c r="BE8" s="549"/>
      <c r="BF8" s="549"/>
      <c r="BG8" s="549"/>
      <c r="BH8" s="549"/>
      <c r="BI8" s="549"/>
      <c r="BJ8" s="549"/>
      <c r="BK8" s="549"/>
      <c r="BL8" s="549"/>
      <c r="BM8" s="549"/>
      <c r="BN8" s="549"/>
      <c r="BO8" s="549"/>
      <c r="BP8" s="549"/>
      <c r="BQ8" s="549"/>
      <c r="BR8" s="95"/>
      <c r="BS8" s="95"/>
      <c r="BT8" s="95"/>
      <c r="BU8" s="95"/>
      <c r="BV8" s="95"/>
      <c r="BW8" s="95"/>
      <c r="BX8" s="95"/>
      <c r="BY8" s="95"/>
      <c r="BZ8" s="95"/>
      <c r="CA8" s="95"/>
      <c r="CB8" s="95"/>
    </row>
    <row r="9" spans="1:80" ht="43.9" customHeight="1">
      <c r="A9" s="552" t="s">
        <v>494</v>
      </c>
      <c r="B9" s="599" t="s">
        <v>50</v>
      </c>
      <c r="C9" s="594" t="s">
        <v>616</v>
      </c>
      <c r="D9" s="364" t="s">
        <v>50</v>
      </c>
      <c r="E9" s="593" t="s">
        <v>512</v>
      </c>
      <c r="F9" s="602" t="s">
        <v>555</v>
      </c>
      <c r="G9" s="596" t="s">
        <v>617</v>
      </c>
      <c r="H9" s="595">
        <v>0</v>
      </c>
      <c r="I9" s="52"/>
      <c r="J9" s="97"/>
      <c r="K9" s="97"/>
      <c r="L9" s="97"/>
      <c r="M9" s="97"/>
      <c r="N9" s="97"/>
      <c r="O9" s="97"/>
      <c r="P9" s="97"/>
      <c r="Q9" s="97"/>
      <c r="R9" s="97"/>
      <c r="S9" s="97"/>
      <c r="T9" s="97"/>
      <c r="U9" s="97"/>
      <c r="V9" s="97"/>
      <c r="W9" s="97"/>
      <c r="X9" s="97"/>
      <c r="Y9" s="97"/>
      <c r="Z9" s="97"/>
      <c r="AA9" s="97"/>
      <c r="AB9" s="97"/>
      <c r="AC9" s="97"/>
      <c r="AD9" s="97"/>
      <c r="AE9" s="97"/>
      <c r="AF9" s="97"/>
      <c r="AG9" s="97"/>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95"/>
      <c r="BS9" s="95"/>
      <c r="BT9" s="95"/>
      <c r="BU9" s="95"/>
      <c r="BV9" s="95"/>
      <c r="BW9" s="95"/>
      <c r="BX9" s="95"/>
      <c r="BY9" s="95"/>
      <c r="BZ9" s="95"/>
      <c r="CA9" s="95"/>
      <c r="CB9" s="95"/>
    </row>
    <row r="10" spans="1:80" ht="18" customHeight="1">
      <c r="A10" s="1027" t="s">
        <v>21</v>
      </c>
      <c r="B10" s="1027"/>
      <c r="C10" s="560" t="s">
        <v>501</v>
      </c>
      <c r="D10" s="888">
        <f>IF((OR($D$5="&lt;1000",$D$5="1001-1500")),$AU$103,IF($D$5="&gt;1500",$AU$110))</f>
        <v>0.5</v>
      </c>
      <c r="E10" s="1028" t="s">
        <v>22</v>
      </c>
      <c r="F10" s="1028"/>
      <c r="G10" s="553"/>
      <c r="H10" s="553"/>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549"/>
      <c r="AI10" s="549"/>
      <c r="AJ10" s="549"/>
      <c r="AK10" s="549"/>
      <c r="AL10" s="549"/>
      <c r="AM10" s="549"/>
      <c r="AN10" s="549"/>
      <c r="AO10" s="549"/>
      <c r="AP10" s="549"/>
      <c r="AQ10" s="549"/>
      <c r="AR10" s="549"/>
      <c r="AS10" s="549"/>
      <c r="AT10" s="549"/>
      <c r="AU10" s="549"/>
      <c r="AV10" s="549"/>
      <c r="AW10" s="549"/>
      <c r="AX10" s="549"/>
      <c r="AY10" s="549"/>
      <c r="AZ10" s="549"/>
      <c r="BA10" s="549"/>
      <c r="BB10" s="549"/>
      <c r="BC10" s="549"/>
      <c r="BD10" s="549"/>
      <c r="BE10" s="549"/>
      <c r="BF10" s="549"/>
      <c r="BG10" s="549"/>
      <c r="BH10" s="549"/>
      <c r="BI10" s="549"/>
      <c r="BJ10" s="549"/>
      <c r="BK10" s="549"/>
      <c r="BL10" s="549"/>
      <c r="BM10" s="549"/>
      <c r="BN10" s="549"/>
      <c r="BO10" s="549"/>
      <c r="BP10" s="549"/>
      <c r="BQ10" s="549"/>
      <c r="BR10" s="95"/>
      <c r="BS10" s="95"/>
      <c r="BT10" s="95"/>
      <c r="BU10" s="95"/>
      <c r="BV10" s="95"/>
      <c r="BW10" s="95"/>
      <c r="BX10" s="95"/>
      <c r="BY10" s="95"/>
      <c r="BZ10" s="95"/>
      <c r="CA10" s="95"/>
      <c r="CB10" s="95"/>
    </row>
    <row r="11" spans="1:80" ht="17.25" customHeight="1">
      <c r="A11" s="554" t="s">
        <v>495</v>
      </c>
      <c r="B11" s="880">
        <f>IF(OR(F9="LT Enh",F9="LT Pack"),B3*0.842105,0)</f>
        <v>0</v>
      </c>
      <c r="C11" s="560" t="s">
        <v>502</v>
      </c>
      <c r="D11" s="888" t="b">
        <f>IF(D5&lt;&gt;"&gt;1500",IF(D10=0.4,0.5),IF(D10=0.45,0.55))</f>
        <v>0</v>
      </c>
      <c r="E11" s="555" t="s">
        <v>634</v>
      </c>
      <c r="F11" s="902">
        <f>IF(C2="Private Car",AT120,AT121)</f>
        <v>3221</v>
      </c>
      <c r="G11" s="683" t="s">
        <v>552</v>
      </c>
      <c r="H11" s="55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549"/>
      <c r="AI11" s="549"/>
      <c r="AJ11" s="549"/>
      <c r="AK11" s="549"/>
      <c r="AL11" s="549"/>
      <c r="AM11" s="549"/>
      <c r="AN11" s="549"/>
      <c r="AO11" s="549"/>
      <c r="AP11" s="549"/>
      <c r="AQ11" s="549"/>
      <c r="AR11" s="549"/>
      <c r="AS11" s="549"/>
      <c r="AT11" s="549"/>
      <c r="AU11" s="549"/>
      <c r="AV11" s="549"/>
      <c r="AW11" s="549"/>
      <c r="AX11" s="549"/>
      <c r="AY11" s="549"/>
      <c r="AZ11" s="549"/>
      <c r="BA11" s="549"/>
      <c r="BB11" s="549"/>
      <c r="BC11" s="549"/>
      <c r="BD11" s="549"/>
      <c r="BE11" s="549"/>
      <c r="BF11" s="549"/>
      <c r="BG11" s="549"/>
      <c r="BH11" s="549"/>
      <c r="BI11" s="549"/>
      <c r="BJ11" s="549"/>
      <c r="BK11" s="549"/>
      <c r="BL11" s="549"/>
      <c r="BM11" s="549"/>
      <c r="BN11" s="549"/>
      <c r="BO11" s="549"/>
      <c r="BP11" s="549"/>
      <c r="BQ11" s="549"/>
      <c r="BR11" s="95"/>
      <c r="BS11" s="95"/>
      <c r="BT11" s="95"/>
      <c r="BU11" s="95"/>
      <c r="BV11" s="95"/>
      <c r="BW11" s="95"/>
      <c r="BX11" s="95"/>
      <c r="BY11" s="95"/>
      <c r="BZ11" s="95"/>
      <c r="CA11" s="95"/>
      <c r="CB11" s="95"/>
    </row>
    <row r="12" spans="1:80" ht="17.25" customHeight="1">
      <c r="A12" s="554" t="s">
        <v>496</v>
      </c>
      <c r="B12" s="881">
        <f>IF(OR(F9="LT Enh",F9="LT Pack"),B3*0.7368425,0)</f>
        <v>0</v>
      </c>
      <c r="C12" s="560" t="s">
        <v>503</v>
      </c>
      <c r="D12" s="888" t="b">
        <f>IF(D5&lt;&gt;"&gt;1500",IF(D10=0.4,0.65),IF(D10=0.45,0.7))</f>
        <v>0</v>
      </c>
      <c r="E12" s="559" t="s">
        <v>26</v>
      </c>
      <c r="F12" s="902">
        <f>IF($F$4="FPD",260*3,IF(F4="One Year",275,0))</f>
        <v>0</v>
      </c>
      <c r="G12" s="556"/>
      <c r="H12" s="556"/>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549"/>
      <c r="AI12" s="549"/>
      <c r="AJ12" s="549"/>
      <c r="AK12" s="549"/>
      <c r="AL12" s="549"/>
      <c r="AM12" s="549"/>
      <c r="AN12" s="549"/>
      <c r="AO12" s="549"/>
      <c r="AP12" s="549"/>
      <c r="AQ12" s="549"/>
      <c r="AR12" s="549"/>
      <c r="AS12" s="549"/>
      <c r="AT12" s="549"/>
      <c r="AU12" s="549"/>
      <c r="AV12" s="549"/>
      <c r="AW12" s="549"/>
      <c r="AX12" s="549"/>
      <c r="AY12" s="549"/>
      <c r="AZ12" s="549"/>
      <c r="BA12" s="549"/>
      <c r="BB12" s="549"/>
      <c r="BC12" s="549"/>
      <c r="BD12" s="549"/>
      <c r="BE12" s="549"/>
      <c r="BF12" s="549"/>
      <c r="BG12" s="549"/>
      <c r="BH12" s="549"/>
      <c r="BI12" s="549"/>
      <c r="BJ12" s="549"/>
      <c r="BK12" s="549"/>
      <c r="BL12" s="549"/>
      <c r="BM12" s="549"/>
      <c r="BN12" s="549"/>
      <c r="BO12" s="549"/>
      <c r="BP12" s="549"/>
      <c r="BQ12" s="549"/>
      <c r="BR12" s="95"/>
      <c r="BS12" s="95"/>
      <c r="BT12" s="95"/>
      <c r="BU12" s="95"/>
      <c r="BV12" s="95"/>
      <c r="BW12" s="95"/>
      <c r="BX12" s="95"/>
      <c r="BY12" s="95"/>
      <c r="BZ12" s="95"/>
      <c r="CA12" s="95"/>
      <c r="CB12" s="95"/>
    </row>
    <row r="13" spans="1:80" ht="21" customHeight="1">
      <c r="A13" s="560" t="s">
        <v>23</v>
      </c>
      <c r="B13" s="882">
        <f>IF(F9="Package",AQ107,AQ108)</f>
        <v>3.2829999999999999</v>
      </c>
      <c r="C13" s="560" t="s">
        <v>504</v>
      </c>
      <c r="D13" s="881">
        <f>IF(OR(F9="LT Enh",F9="Enhancement",F9="Bundled Enh &amp; Liability"),ROUNDUP(D10%*($B$3+D6+F3),0),0)</f>
        <v>3838</v>
      </c>
      <c r="E13" s="555" t="s">
        <v>92</v>
      </c>
      <c r="F13" s="902">
        <f>IF(AND(F9&lt;&gt;"Package",F9&lt;&gt;"Enhancement"),AT116,AT117)</f>
        <v>0</v>
      </c>
      <c r="G13" s="561" t="s">
        <v>29</v>
      </c>
      <c r="H13" s="562">
        <f>$F$16+$F$17</f>
        <v>18199.2563008</v>
      </c>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549"/>
      <c r="AI13" s="549"/>
      <c r="AJ13" s="549"/>
      <c r="AK13" s="549"/>
      <c r="AL13" s="549"/>
      <c r="AM13" s="549"/>
      <c r="AN13" s="549"/>
      <c r="AO13" s="549"/>
      <c r="AP13" s="549"/>
      <c r="AQ13" s="549"/>
      <c r="AR13" s="549"/>
      <c r="AS13" s="549"/>
      <c r="AT13" s="549"/>
      <c r="AU13" s="549"/>
      <c r="AV13" s="549"/>
      <c r="AW13" s="549"/>
      <c r="AX13" s="549"/>
      <c r="AY13" s="549"/>
      <c r="AZ13" s="549"/>
      <c r="BA13" s="549"/>
      <c r="BB13" s="549"/>
      <c r="BC13" s="549"/>
      <c r="BD13" s="549"/>
      <c r="BE13" s="549"/>
      <c r="BF13" s="549"/>
      <c r="BG13" s="549"/>
      <c r="BH13" s="549"/>
      <c r="BI13" s="549"/>
      <c r="BJ13" s="549"/>
      <c r="BK13" s="549"/>
      <c r="BL13" s="549"/>
      <c r="BM13" s="549"/>
      <c r="BN13" s="549"/>
      <c r="BO13" s="549"/>
      <c r="BP13" s="549"/>
      <c r="BQ13" s="549"/>
      <c r="BR13" s="95"/>
      <c r="BS13" s="95"/>
      <c r="BT13" s="95"/>
      <c r="BU13" s="95"/>
      <c r="BV13" s="95"/>
      <c r="BW13" s="95"/>
      <c r="BX13" s="95"/>
      <c r="BY13" s="95"/>
      <c r="BZ13" s="95"/>
      <c r="CA13" s="95"/>
      <c r="CB13" s="95"/>
    </row>
    <row r="14" spans="1:80" ht="16.5">
      <c r="A14" s="560" t="s">
        <v>497</v>
      </c>
      <c r="B14" s="882">
        <f>(1-D3%)*B13</f>
        <v>1.0505599999999997</v>
      </c>
      <c r="C14" s="560" t="s">
        <v>505</v>
      </c>
      <c r="D14" s="888">
        <f>IF(F9="LT Enh",ROUNDUP(D11%*(B11+D6+F3),0),0)</f>
        <v>0</v>
      </c>
      <c r="E14" s="555" t="s">
        <v>137</v>
      </c>
      <c r="F14" s="903">
        <f>IF(AND(F9&lt;&gt;"Package",F9&lt;&gt;"Enhancement"),$F$5*50*3,F5*50)</f>
        <v>300</v>
      </c>
      <c r="G14" s="556"/>
      <c r="H14" s="556"/>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49"/>
      <c r="BH14" s="549"/>
      <c r="BI14" s="549"/>
      <c r="BJ14" s="549"/>
      <c r="BK14" s="549"/>
      <c r="BL14" s="549"/>
      <c r="BM14" s="549"/>
      <c r="BN14" s="549"/>
      <c r="BO14" s="549"/>
      <c r="BP14" s="549"/>
      <c r="BQ14" s="549"/>
      <c r="BR14" s="95"/>
      <c r="BS14" s="95"/>
      <c r="BT14" s="95"/>
      <c r="BU14" s="95"/>
      <c r="BV14" s="95"/>
      <c r="BW14" s="95"/>
      <c r="BX14" s="95"/>
      <c r="BY14" s="95"/>
      <c r="BZ14" s="95"/>
      <c r="CA14" s="95"/>
      <c r="CB14" s="95"/>
    </row>
    <row r="15" spans="1:80" ht="16.5">
      <c r="A15" s="563" t="s">
        <v>25</v>
      </c>
      <c r="B15" s="883">
        <f>B3*B14/100</f>
        <v>8064.0985599999976</v>
      </c>
      <c r="C15" s="560" t="s">
        <v>506</v>
      </c>
      <c r="D15" s="888">
        <f>IF(F9="LT Enh",ROUNDUP(D12%*(B12+D6+F3),0),0)</f>
        <v>0</v>
      </c>
      <c r="E15" s="555" t="s">
        <v>31</v>
      </c>
      <c r="F15" s="904">
        <f>($F$11+$F$12+$F$14+$F$13)</f>
        <v>3521</v>
      </c>
      <c r="G15" s="5"/>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49"/>
      <c r="BQ15" s="549"/>
      <c r="BR15" s="95"/>
      <c r="BS15" s="95"/>
      <c r="BT15" s="95"/>
      <c r="BU15" s="95"/>
      <c r="BV15" s="95"/>
      <c r="BW15" s="95"/>
      <c r="BX15" s="95"/>
      <c r="BY15" s="95"/>
      <c r="BZ15" s="95"/>
      <c r="CA15" s="95"/>
      <c r="CB15" s="95"/>
    </row>
    <row r="16" spans="1:80" ht="17.25" customHeight="1">
      <c r="A16" s="563" t="s">
        <v>498</v>
      </c>
      <c r="B16" s="884">
        <f>B11*B14/100</f>
        <v>0</v>
      </c>
      <c r="C16" s="576" t="s">
        <v>460</v>
      </c>
      <c r="D16" s="887">
        <f>B24+(D13+D14+D15)</f>
        <v>11902.098559999999</v>
      </c>
      <c r="E16" s="555" t="s">
        <v>33</v>
      </c>
      <c r="F16" s="905">
        <f>$F$15+D31</f>
        <v>15423.098559999999</v>
      </c>
      <c r="G16" s="556"/>
      <c r="H16" s="556"/>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549"/>
      <c r="AI16" s="549"/>
      <c r="AJ16" s="549"/>
      <c r="AK16" s="549"/>
      <c r="AL16" s="549"/>
      <c r="AM16" s="549"/>
      <c r="AN16" s="549"/>
      <c r="AO16" s="549"/>
      <c r="AP16" s="549"/>
      <c r="AQ16" s="549"/>
      <c r="AR16" s="549"/>
      <c r="AS16" s="549"/>
      <c r="AT16" s="549"/>
      <c r="AU16" s="549"/>
      <c r="AV16" s="549"/>
      <c r="AW16" s="549"/>
      <c r="AX16" s="549"/>
      <c r="AY16" s="549"/>
      <c r="AZ16" s="549"/>
      <c r="BA16" s="549"/>
      <c r="BB16" s="549"/>
      <c r="BC16" s="549"/>
      <c r="BD16" s="549"/>
      <c r="BE16" s="549"/>
      <c r="BF16" s="549"/>
      <c r="BG16" s="549"/>
      <c r="BH16" s="549"/>
      <c r="BI16" s="549"/>
      <c r="BJ16" s="549"/>
      <c r="BK16" s="549"/>
      <c r="BL16" s="549"/>
      <c r="BM16" s="549"/>
      <c r="BN16" s="549"/>
      <c r="BO16" s="549"/>
      <c r="BP16" s="549"/>
      <c r="BQ16" s="549"/>
      <c r="BR16" s="95"/>
      <c r="BS16" s="95"/>
      <c r="BT16" s="95"/>
      <c r="BU16" s="95"/>
      <c r="BV16" s="95"/>
      <c r="BW16" s="95"/>
      <c r="BX16" s="95"/>
      <c r="BY16" s="95"/>
      <c r="BZ16" s="95"/>
      <c r="CA16" s="95"/>
      <c r="CB16" s="95"/>
    </row>
    <row r="17" spans="1:84" ht="16.7" customHeight="1">
      <c r="A17" s="563" t="s">
        <v>499</v>
      </c>
      <c r="B17" s="884">
        <f>B12*B14/100</f>
        <v>0</v>
      </c>
      <c r="C17" s="578" t="s">
        <v>461</v>
      </c>
      <c r="D17" s="889">
        <f>IF(D23=0.26,0.95*1.67,1.67)</f>
        <v>1.67</v>
      </c>
      <c r="E17" s="555" t="s">
        <v>34</v>
      </c>
      <c r="F17" s="905">
        <f>18%*F16</f>
        <v>2776.1577407999998</v>
      </c>
      <c r="G17" s="556"/>
      <c r="H17" s="556"/>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549"/>
      <c r="AI17" s="549"/>
      <c r="AJ17" s="549"/>
      <c r="AK17" s="549"/>
      <c r="AL17" s="549"/>
      <c r="AM17" s="549"/>
      <c r="AN17" s="549"/>
      <c r="AO17" s="549"/>
      <c r="AP17" s="549"/>
      <c r="AQ17" s="549"/>
      <c r="AR17" s="549"/>
      <c r="AS17" s="549"/>
      <c r="AT17" s="549"/>
      <c r="AU17" s="549"/>
      <c r="AV17" s="549"/>
      <c r="AW17" s="549"/>
      <c r="AX17" s="549"/>
      <c r="AY17" s="549"/>
      <c r="AZ17" s="549"/>
      <c r="BA17" s="549"/>
      <c r="BB17" s="549"/>
      <c r="BC17" s="549"/>
      <c r="BD17" s="549"/>
      <c r="BE17" s="549"/>
      <c r="BF17" s="549"/>
      <c r="BG17" s="549"/>
      <c r="BH17" s="549"/>
      <c r="BI17" s="549"/>
      <c r="BJ17" s="549"/>
      <c r="BK17" s="549"/>
      <c r="BL17" s="549"/>
      <c r="BM17" s="549"/>
      <c r="BN17" s="549"/>
      <c r="BO17" s="549"/>
      <c r="BP17" s="549"/>
      <c r="BQ17" s="549"/>
      <c r="BR17" s="95"/>
      <c r="BS17" s="95"/>
      <c r="BT17" s="95"/>
      <c r="BU17" s="95"/>
      <c r="BV17" s="95"/>
      <c r="BW17" s="95"/>
      <c r="BX17" s="95"/>
      <c r="BY17" s="95"/>
      <c r="BZ17" s="95"/>
      <c r="CA17" s="95"/>
      <c r="CB17" s="95"/>
    </row>
    <row r="18" spans="1:84" ht="16.7" customHeight="1">
      <c r="A18" s="564" t="s">
        <v>27</v>
      </c>
      <c r="B18" s="885">
        <f>IF(OR(F9="LT Enh",F9="LT Pack"),(1-D3%)*0.04*F3*3,(1-D3%)*0.04*F3)</f>
        <v>0</v>
      </c>
      <c r="C18" s="578" t="s">
        <v>462</v>
      </c>
      <c r="D18" s="890">
        <f>D7*D17/100</f>
        <v>0</v>
      </c>
      <c r="E18" s="566"/>
      <c r="F18" s="566"/>
      <c r="G18" s="558"/>
      <c r="H18" s="558"/>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549"/>
      <c r="AI18" s="549"/>
      <c r="AJ18" s="549"/>
      <c r="AK18" s="549"/>
      <c r="AL18" s="549"/>
      <c r="AM18" s="549"/>
      <c r="AN18" s="549"/>
      <c r="AO18" s="549"/>
      <c r="AP18" s="549"/>
      <c r="AQ18" s="549"/>
      <c r="AR18" s="549"/>
      <c r="AS18" s="549"/>
      <c r="AT18" s="549"/>
      <c r="AU18" s="549"/>
      <c r="AV18" s="549"/>
      <c r="AW18" s="549"/>
      <c r="AX18" s="549"/>
      <c r="AY18" s="549"/>
      <c r="AZ18" s="549"/>
      <c r="BA18" s="549"/>
      <c r="BB18" s="549"/>
      <c r="BC18" s="549"/>
      <c r="BD18" s="549"/>
      <c r="BE18" s="549"/>
      <c r="BF18" s="549"/>
      <c r="BG18" s="549"/>
      <c r="BH18" s="549"/>
      <c r="BI18" s="549"/>
      <c r="BJ18" s="549"/>
      <c r="BK18" s="549"/>
      <c r="BL18" s="549"/>
      <c r="BM18" s="549"/>
      <c r="BN18" s="549"/>
      <c r="BO18" s="549"/>
      <c r="BP18" s="549"/>
      <c r="BQ18" s="549"/>
      <c r="BR18" s="95"/>
      <c r="BS18" s="95"/>
      <c r="BT18" s="95"/>
      <c r="BU18" s="95"/>
      <c r="BV18" s="95"/>
      <c r="BW18" s="95"/>
      <c r="BX18" s="95"/>
      <c r="BY18" s="95"/>
      <c r="BZ18" s="95"/>
      <c r="CA18" s="95"/>
      <c r="CB18" s="95"/>
    </row>
    <row r="19" spans="1:84" ht="18.75" customHeight="1">
      <c r="A19" s="560" t="s">
        <v>414</v>
      </c>
      <c r="B19" s="885">
        <f>IF(OR(F9="LT Enh",F9="LT Pack"),((1-D3%)*H44)*3,((1-D3%)*H44))</f>
        <v>0</v>
      </c>
      <c r="C19" s="580" t="s">
        <v>463</v>
      </c>
      <c r="D19" s="891">
        <f>IF(B5=BI112,0.17,IF(B5=BI113,0.33,IF(B5=BI114,0.5,0)))</f>
        <v>0.33</v>
      </c>
      <c r="E19" s="1029"/>
      <c r="F19" s="1029"/>
      <c r="G19" s="558"/>
      <c r="H19" s="558"/>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549"/>
      <c r="AI19" s="549"/>
      <c r="AJ19" s="549"/>
      <c r="AK19" s="549"/>
      <c r="AL19" s="549"/>
      <c r="AM19" s="549"/>
      <c r="AN19" s="549"/>
      <c r="AO19" s="549"/>
      <c r="AP19" s="549"/>
      <c r="AQ19" s="549"/>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49"/>
      <c r="BN19" s="549"/>
      <c r="BO19" s="549"/>
      <c r="BP19" s="549"/>
      <c r="BQ19" s="549"/>
      <c r="BR19" s="95"/>
      <c r="BS19" s="95"/>
      <c r="BT19" s="95"/>
      <c r="BU19" s="95"/>
      <c r="BV19" s="95"/>
      <c r="BW19" s="95"/>
      <c r="BX19" s="95"/>
      <c r="BY19" s="95"/>
      <c r="BZ19" s="95"/>
      <c r="CA19" s="95"/>
      <c r="CB19" s="95"/>
    </row>
    <row r="20" spans="1:84" ht="17.100000000000001" customHeight="1">
      <c r="A20" s="560" t="s">
        <v>492</v>
      </c>
      <c r="B20" s="886">
        <f>IF(OR(F9="LT Enh",F9="LT Pack"),0.05*B8*3,0.05*B8)</f>
        <v>0</v>
      </c>
      <c r="C20" s="580" t="s">
        <v>464</v>
      </c>
      <c r="D20" s="892">
        <f>IF(F9&lt;&gt;"LT Enh",F6*D19/100,(0.17/100*F6+0.33/100*F6+0.5/100*F6))</f>
        <v>0</v>
      </c>
      <c r="E20" s="1030" t="s">
        <v>431</v>
      </c>
      <c r="F20" s="1030"/>
      <c r="G20" s="558"/>
      <c r="H20" s="558"/>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549"/>
      <c r="AI20" s="549"/>
      <c r="AJ20" s="549"/>
      <c r="AK20" s="549"/>
      <c r="AL20" s="549"/>
      <c r="AM20" s="549"/>
      <c r="AN20" s="549"/>
      <c r="AO20" s="549"/>
      <c r="AP20" s="549"/>
      <c r="AQ20" s="549"/>
      <c r="AR20" s="549"/>
      <c r="AS20" s="549"/>
      <c r="AT20" s="549"/>
      <c r="AU20" s="549"/>
      <c r="AV20" s="549"/>
      <c r="AW20" s="549"/>
      <c r="AX20" s="549"/>
      <c r="AY20" s="549"/>
      <c r="AZ20" s="549"/>
      <c r="BA20" s="549"/>
      <c r="BB20" s="549"/>
      <c r="BC20" s="549"/>
      <c r="BD20" s="549"/>
      <c r="BE20" s="549"/>
      <c r="BF20" s="549"/>
      <c r="BG20" s="549"/>
      <c r="BH20" s="549"/>
      <c r="BI20" s="549"/>
      <c r="BJ20" s="549"/>
      <c r="BK20" s="549"/>
      <c r="BL20" s="549"/>
      <c r="BM20" s="549"/>
      <c r="BN20" s="549"/>
      <c r="BO20" s="549"/>
      <c r="BP20" s="549"/>
      <c r="BQ20" s="549"/>
      <c r="BR20" s="95"/>
      <c r="BS20" s="95"/>
      <c r="BT20" s="95"/>
      <c r="BU20" s="95"/>
      <c r="BV20" s="95"/>
      <c r="BW20" s="95"/>
      <c r="BX20" s="95"/>
      <c r="BY20" s="95"/>
      <c r="BZ20" s="95"/>
      <c r="CA20" s="95"/>
      <c r="CB20" s="95"/>
    </row>
    <row r="21" spans="1:84" ht="20.85" customHeight="1">
      <c r="A21" s="560" t="s">
        <v>32</v>
      </c>
      <c r="B21" s="887">
        <f>B15+B16+B17+B18+B19+B20</f>
        <v>8064.0985599999976</v>
      </c>
      <c r="C21" s="582" t="s">
        <v>465</v>
      </c>
      <c r="D21" s="893">
        <f>VLOOKUP(D4,BF113:BG118,2,0)</f>
        <v>8.5</v>
      </c>
      <c r="E21" s="910" t="s">
        <v>638</v>
      </c>
      <c r="F21" s="911" t="s">
        <v>639</v>
      </c>
      <c r="G21" s="558"/>
      <c r="H21" s="558"/>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549"/>
      <c r="AI21" s="549"/>
      <c r="AJ21" s="549"/>
      <c r="AK21" s="549"/>
      <c r="AL21" s="549"/>
      <c r="AM21" s="549"/>
      <c r="AN21" s="549"/>
      <c r="AO21" s="549"/>
      <c r="AP21" s="549"/>
      <c r="AQ21" s="549"/>
      <c r="AR21" s="549"/>
      <c r="AS21" s="549"/>
      <c r="AT21" s="549"/>
      <c r="AU21" s="549"/>
      <c r="AV21" s="549"/>
      <c r="AW21" s="549"/>
      <c r="AX21" s="549"/>
      <c r="AY21" s="549"/>
      <c r="AZ21" s="549"/>
      <c r="BA21" s="549"/>
      <c r="BB21" s="549"/>
      <c r="BC21" s="549"/>
      <c r="BD21" s="549"/>
      <c r="BE21" s="549"/>
      <c r="BF21" s="549"/>
      <c r="BG21" s="549"/>
      <c r="BH21" s="549"/>
      <c r="BI21" s="549"/>
      <c r="BJ21" s="549"/>
      <c r="BK21" s="549"/>
      <c r="BL21" s="549"/>
      <c r="BM21" s="549"/>
      <c r="BN21" s="549"/>
      <c r="BO21" s="549"/>
      <c r="BP21" s="549"/>
      <c r="BQ21" s="549"/>
      <c r="BR21" s="95"/>
      <c r="BS21" s="95"/>
      <c r="BT21" s="95"/>
      <c r="BU21" s="95"/>
      <c r="BV21" s="95"/>
      <c r="BW21" s="95"/>
      <c r="BX21" s="95"/>
      <c r="BY21" s="95"/>
      <c r="BZ21" s="95"/>
      <c r="CA21" s="95"/>
      <c r="CB21" s="95"/>
    </row>
    <row r="22" spans="1:84" ht="16.5">
      <c r="A22" s="560" t="s">
        <v>500</v>
      </c>
      <c r="B22" s="887">
        <f>IF(B9="Yes",IF(2.5%*B21&gt;500,500,2.5%*B21),0)</f>
        <v>0</v>
      </c>
      <c r="C22" s="582" t="s">
        <v>466</v>
      </c>
      <c r="D22" s="894">
        <f>IF(F9="LT Enh",IF(F7="Yes",(B21+D13+D14+D15)*D21%,0),(IF(F7="Yes",D21%*(B15+D13),0)))</f>
        <v>0</v>
      </c>
      <c r="E22" s="910" t="s">
        <v>640</v>
      </c>
      <c r="F22" s="912" t="s">
        <v>91</v>
      </c>
      <c r="G22" s="558"/>
      <c r="H22" s="558"/>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c r="BH22" s="549"/>
      <c r="BI22" s="549"/>
      <c r="BJ22" s="549"/>
      <c r="BK22" s="549"/>
      <c r="BL22" s="549"/>
      <c r="BM22" s="549"/>
      <c r="BN22" s="549"/>
      <c r="BO22" s="549"/>
      <c r="BP22" s="549"/>
      <c r="BQ22" s="549"/>
      <c r="BR22" s="95"/>
      <c r="BS22" s="95"/>
      <c r="BT22" s="95"/>
      <c r="BU22" s="95"/>
      <c r="BV22" s="95"/>
      <c r="BW22" s="95"/>
      <c r="BX22" s="95"/>
      <c r="BY22" s="95"/>
      <c r="BZ22" s="95"/>
      <c r="CA22" s="95"/>
      <c r="CB22" s="95"/>
    </row>
    <row r="23" spans="1:84" ht="21" customHeight="1">
      <c r="A23" s="560" t="s">
        <v>12</v>
      </c>
      <c r="B23" s="887">
        <f>D4%*(B21-B22)</f>
        <v>0</v>
      </c>
      <c r="C23" s="585" t="s">
        <v>467</v>
      </c>
      <c r="D23" s="895">
        <f>IF(B5=AX102,0.26,IF(B5=AX103,0.28,IF(B5=AX104,0.3,IF(B5=AX105,0.35,IF(B5=AX106,0.4,0)))))</f>
        <v>0.28000000000000003</v>
      </c>
      <c r="E23" s="913" t="s">
        <v>641</v>
      </c>
      <c r="F23" s="914" t="s">
        <v>93</v>
      </c>
      <c r="G23" s="558"/>
      <c r="H23" s="558"/>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549"/>
      <c r="BO23" s="549"/>
      <c r="BP23" s="549"/>
      <c r="BQ23" s="549"/>
      <c r="BR23" s="95"/>
      <c r="BS23" s="95"/>
      <c r="BT23" s="95"/>
      <c r="BU23" s="95"/>
      <c r="BV23" s="95"/>
      <c r="BW23" s="95"/>
      <c r="BX23" s="95"/>
      <c r="BY23" s="95"/>
      <c r="BZ23" s="95"/>
      <c r="CA23" s="95"/>
      <c r="CB23" s="95"/>
    </row>
    <row r="24" spans="1:84" ht="19.350000000000001" customHeight="1">
      <c r="A24" s="560" t="s">
        <v>138</v>
      </c>
      <c r="B24" s="887">
        <f>B21-B22-B23</f>
        <v>8064.0985599999976</v>
      </c>
      <c r="C24" s="585" t="s">
        <v>468</v>
      </c>
      <c r="D24" s="896">
        <f>IF(AND(B7="Yes",B5="Brand New Car upto one year of age"),(((0.95*D23)%*(B3+F3+D6))+0.28%*(B11+F3+D6)+0.3%*(B12+F3+D6)),IF(B7="No",0,D23%*(B3+F3+D6)))</f>
        <v>0</v>
      </c>
      <c r="E24" s="915" t="s">
        <v>642</v>
      </c>
      <c r="F24" s="916" t="s">
        <v>94</v>
      </c>
      <c r="G24" s="558"/>
      <c r="H24" s="98"/>
      <c r="I24" s="96"/>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549"/>
      <c r="AI24" s="549"/>
      <c r="AJ24" s="549"/>
      <c r="AK24" s="549"/>
      <c r="AL24" s="549"/>
      <c r="AM24" s="549"/>
      <c r="AN24" s="549"/>
      <c r="AO24" s="549"/>
      <c r="AP24" s="549"/>
      <c r="AQ24" s="549"/>
      <c r="AR24" s="549"/>
      <c r="AS24" s="549"/>
      <c r="AT24" s="549"/>
      <c r="AU24" s="549"/>
      <c r="AV24" s="549"/>
      <c r="AW24" s="549"/>
      <c r="AX24" s="549"/>
      <c r="AY24" s="549"/>
      <c r="AZ24" s="549"/>
      <c r="BA24" s="549"/>
      <c r="BB24" s="549"/>
      <c r="BC24" s="549"/>
      <c r="BD24" s="549"/>
      <c r="BE24" s="549"/>
      <c r="BF24" s="549"/>
      <c r="BG24" s="549"/>
      <c r="BH24" s="549"/>
      <c r="BI24" s="549"/>
      <c r="BJ24" s="549"/>
      <c r="BK24" s="549"/>
      <c r="BL24" s="549"/>
      <c r="BM24" s="549"/>
      <c r="BN24" s="549"/>
      <c r="BO24" s="549"/>
      <c r="BP24" s="549"/>
      <c r="BQ24" s="549"/>
      <c r="BR24" s="99"/>
      <c r="BS24" s="99"/>
      <c r="BT24" s="99"/>
      <c r="BU24" s="99"/>
      <c r="BV24" s="99"/>
      <c r="BW24" s="99"/>
      <c r="BX24" s="99"/>
      <c r="BY24" s="99"/>
      <c r="BZ24" s="99"/>
      <c r="CA24" s="99"/>
      <c r="CB24" s="99"/>
      <c r="CC24" s="90"/>
      <c r="CD24" s="90"/>
      <c r="CE24" s="90"/>
      <c r="CF24" s="90"/>
    </row>
    <row r="25" spans="1:84" ht="17.850000000000001" customHeight="1">
      <c r="C25" s="586" t="s">
        <v>469</v>
      </c>
      <c r="D25" s="897">
        <f>IF(F9&lt;&gt;"LT Enh",IF(D23=0.26,(0.95*0.05*F8),0.05*F8),IF(F8&lt;&gt;0,475+500+500,0))</f>
        <v>0</v>
      </c>
      <c r="E25" s="568"/>
      <c r="F25" s="569"/>
      <c r="G25" s="558"/>
      <c r="H25" s="98"/>
      <c r="I25" s="96"/>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549"/>
      <c r="AI25" s="549"/>
      <c r="AJ25" s="549"/>
      <c r="AK25" s="549"/>
      <c r="AL25" s="549"/>
      <c r="AM25" s="549"/>
      <c r="AN25" s="549"/>
      <c r="AO25" s="549"/>
      <c r="AP25" s="549"/>
      <c r="AQ25" s="549"/>
      <c r="AR25" s="549"/>
      <c r="AS25" s="549"/>
      <c r="AT25" s="549"/>
      <c r="AU25" s="549"/>
      <c r="AV25" s="549"/>
      <c r="AW25" s="549"/>
      <c r="AX25" s="549"/>
      <c r="AY25" s="549"/>
      <c r="AZ25" s="549"/>
      <c r="BA25" s="549"/>
      <c r="BB25" s="549"/>
      <c r="BC25" s="549"/>
      <c r="BD25" s="549"/>
      <c r="BE25" s="549"/>
      <c r="BF25" s="549"/>
      <c r="BG25" s="549"/>
      <c r="BH25" s="549"/>
      <c r="BI25" s="549"/>
      <c r="BJ25" s="549"/>
      <c r="BK25" s="549"/>
      <c r="BL25" s="549"/>
      <c r="BM25" s="549"/>
      <c r="BN25" s="549"/>
      <c r="BO25" s="549"/>
      <c r="BP25" s="549"/>
      <c r="BQ25" s="549"/>
      <c r="BR25" s="99"/>
      <c r="BS25" s="99"/>
      <c r="BT25" s="99"/>
      <c r="BU25" s="99"/>
      <c r="BV25" s="99"/>
      <c r="BW25" s="99"/>
      <c r="BX25" s="99"/>
      <c r="BY25" s="99"/>
      <c r="BZ25" s="99"/>
      <c r="CA25" s="99"/>
      <c r="CB25" s="99"/>
      <c r="CC25" s="90"/>
      <c r="CD25" s="90"/>
      <c r="CE25" s="90"/>
      <c r="CF25" s="90"/>
    </row>
    <row r="26" spans="1:84" ht="19.350000000000001" customHeight="1">
      <c r="C26" s="587" t="s">
        <v>470</v>
      </c>
      <c r="D26" s="898">
        <f>IF(D8="Yes",IF(F9="LT Enh",0.95*140+140+140,IF(B5="Brand New Car upto one year of age",0.95*140,140)),0)</f>
        <v>0</v>
      </c>
      <c r="E26" s="567"/>
      <c r="F26" s="874"/>
      <c r="G26" s="558"/>
      <c r="H26" s="98"/>
      <c r="I26" s="96"/>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549"/>
      <c r="AI26" s="549"/>
      <c r="AJ26" s="549"/>
      <c r="AK26" s="549"/>
      <c r="AL26" s="549"/>
      <c r="AM26" s="549"/>
      <c r="AN26" s="549"/>
      <c r="AO26" s="549"/>
      <c r="AP26" s="549"/>
      <c r="AQ26" s="549"/>
      <c r="AR26" s="549"/>
      <c r="AS26" s="549"/>
      <c r="AT26" s="549"/>
      <c r="AU26" s="549"/>
      <c r="AV26" s="549"/>
      <c r="AW26" s="549"/>
      <c r="AX26" s="549"/>
      <c r="AY26" s="549"/>
      <c r="AZ26" s="549"/>
      <c r="BA26" s="549"/>
      <c r="BB26" s="549"/>
      <c r="BC26" s="549"/>
      <c r="BD26" s="549"/>
      <c r="BE26" s="549"/>
      <c r="BF26" s="549"/>
      <c r="BG26" s="549"/>
      <c r="BH26" s="549"/>
      <c r="BI26" s="549"/>
      <c r="BJ26" s="549"/>
      <c r="BK26" s="549"/>
      <c r="BL26" s="549"/>
      <c r="BM26" s="549"/>
      <c r="BN26" s="549"/>
      <c r="BO26" s="549"/>
      <c r="BP26" s="549"/>
      <c r="BQ26" s="549"/>
      <c r="BR26" s="99"/>
      <c r="BS26" s="99"/>
      <c r="BT26" s="99"/>
      <c r="BU26" s="99"/>
      <c r="BV26" s="99"/>
      <c r="BW26" s="99"/>
      <c r="BX26" s="99"/>
      <c r="BY26" s="99"/>
      <c r="BZ26" s="99"/>
      <c r="CA26" s="99"/>
      <c r="CB26" s="99"/>
      <c r="CC26" s="90"/>
      <c r="CD26" s="90"/>
      <c r="CE26" s="90"/>
      <c r="CF26" s="90"/>
    </row>
    <row r="27" spans="1:84" ht="18.600000000000001" customHeight="1">
      <c r="C27" s="781" t="s">
        <v>613</v>
      </c>
      <c r="D27" s="899">
        <f>IF(OR(B5=AX102,B5=AX103,B5=AX104,B5=AX105,B5=AX106),VLOOKUP(B5,BI112:BJ116,2,0),0)</f>
        <v>0.16</v>
      </c>
      <c r="E27" s="1031"/>
      <c r="F27" s="1032"/>
      <c r="G27" s="558"/>
      <c r="H27" s="98"/>
      <c r="I27" s="96"/>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549"/>
      <c r="AI27" s="549"/>
      <c r="AJ27" s="549"/>
      <c r="AK27" s="549"/>
      <c r="AL27" s="549"/>
      <c r="AM27" s="549"/>
      <c r="AN27" s="549"/>
      <c r="AO27" s="549"/>
      <c r="AP27" s="549"/>
      <c r="AQ27" s="549"/>
      <c r="AR27" s="549"/>
      <c r="AS27" s="549"/>
      <c r="AT27" s="549"/>
      <c r="AU27" s="549"/>
      <c r="AV27" s="549"/>
      <c r="AW27" s="549"/>
      <c r="AX27" s="549"/>
      <c r="AY27" s="549"/>
      <c r="AZ27" s="549"/>
      <c r="BA27" s="549"/>
      <c r="BB27" s="549"/>
      <c r="BC27" s="549"/>
      <c r="BD27" s="549"/>
      <c r="BE27" s="549"/>
      <c r="BF27" s="549"/>
      <c r="BG27" s="549"/>
      <c r="BH27" s="549"/>
      <c r="BI27" s="549"/>
      <c r="BJ27" s="549"/>
      <c r="BK27" s="549"/>
      <c r="BL27" s="549"/>
      <c r="BM27" s="549"/>
      <c r="BN27" s="549"/>
      <c r="BO27" s="549"/>
      <c r="BP27" s="549"/>
      <c r="BQ27" s="549"/>
      <c r="BR27" s="99"/>
      <c r="BS27" s="99"/>
      <c r="BT27" s="99"/>
      <c r="BU27" s="99"/>
      <c r="BV27" s="99"/>
      <c r="BW27" s="99"/>
      <c r="BX27" s="99"/>
      <c r="BY27" s="99"/>
      <c r="BZ27" s="99"/>
      <c r="CA27" s="99"/>
      <c r="CB27" s="99"/>
      <c r="CC27" s="90"/>
      <c r="CD27" s="90"/>
      <c r="CE27" s="90"/>
      <c r="CF27" s="90"/>
    </row>
    <row r="28" spans="1:84" ht="22.5" customHeight="1">
      <c r="C28" s="781" t="s">
        <v>614</v>
      </c>
      <c r="D28" s="900">
        <f>IF(D9="Yes",IF(F9&lt;&gt;"LT Enh",D27%*B3,0.14%*B3+0.16%*B11+0.18%*B12),0)</f>
        <v>0</v>
      </c>
      <c r="E28" s="571"/>
      <c r="F28" s="572"/>
      <c r="G28" s="873"/>
      <c r="H28" s="98"/>
      <c r="I28" s="96"/>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549"/>
      <c r="AI28" s="549"/>
      <c r="AJ28" s="549"/>
      <c r="AK28" s="549"/>
      <c r="AL28" s="549"/>
      <c r="AM28" s="549"/>
      <c r="AN28" s="549"/>
      <c r="AO28" s="549"/>
      <c r="AP28" s="549"/>
      <c r="AQ28" s="549"/>
      <c r="AR28" s="549"/>
      <c r="AS28" s="549"/>
      <c r="AT28" s="549"/>
      <c r="AU28" s="549"/>
      <c r="AV28" s="549"/>
      <c r="AW28" s="549"/>
      <c r="AX28" s="549"/>
      <c r="AY28" s="549"/>
      <c r="AZ28" s="549"/>
      <c r="BA28" s="549"/>
      <c r="BB28" s="549"/>
      <c r="BC28" s="549"/>
      <c r="BD28" s="549"/>
      <c r="BE28" s="549"/>
      <c r="BF28" s="549"/>
      <c r="BG28" s="549"/>
      <c r="BH28" s="549"/>
      <c r="BI28" s="549"/>
      <c r="BJ28" s="549"/>
      <c r="BK28" s="549"/>
      <c r="BL28" s="549"/>
      <c r="BM28" s="549"/>
      <c r="BN28" s="549"/>
      <c r="BO28" s="549"/>
      <c r="BP28" s="549"/>
      <c r="BQ28" s="549"/>
      <c r="BR28" s="99"/>
      <c r="BS28" s="99"/>
      <c r="BT28" s="99"/>
      <c r="BU28" s="99"/>
      <c r="BV28" s="99"/>
      <c r="BW28" s="99"/>
      <c r="BX28" s="99"/>
      <c r="BY28" s="99"/>
      <c r="BZ28" s="99"/>
      <c r="CA28" s="99"/>
      <c r="CB28" s="99"/>
      <c r="CC28" s="90"/>
      <c r="CD28" s="90"/>
      <c r="CE28" s="90"/>
      <c r="CF28" s="90"/>
    </row>
    <row r="29" spans="1:84" ht="20.85" customHeight="1">
      <c r="C29" s="781" t="s">
        <v>615</v>
      </c>
      <c r="D29" s="899">
        <f>IF(H9&lt;&gt;0,0.07%*H9,0)</f>
        <v>0</v>
      </c>
      <c r="E29" s="573"/>
      <c r="F29" s="572"/>
      <c r="G29" s="558"/>
      <c r="H29" s="98"/>
      <c r="I29" s="96"/>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549"/>
      <c r="AI29" s="549"/>
      <c r="AJ29" s="549"/>
      <c r="AK29" s="549"/>
      <c r="AL29" s="549"/>
      <c r="AM29" s="549"/>
      <c r="AN29" s="549"/>
      <c r="AO29" s="549"/>
      <c r="AP29" s="549"/>
      <c r="AQ29" s="549"/>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549"/>
      <c r="BO29" s="549"/>
      <c r="BP29" s="549"/>
      <c r="BQ29" s="549"/>
      <c r="BR29" s="99"/>
      <c r="BS29" s="99"/>
      <c r="BT29" s="99"/>
      <c r="BU29" s="99"/>
      <c r="BV29" s="99"/>
      <c r="BW29" s="99"/>
      <c r="BX29" s="99"/>
      <c r="BY29" s="99"/>
      <c r="BZ29" s="99"/>
      <c r="CA29" s="99"/>
      <c r="CB29" s="99"/>
      <c r="CC29" s="90"/>
      <c r="CD29" s="90"/>
      <c r="CE29" s="90"/>
      <c r="CF29" s="90"/>
    </row>
    <row r="30" spans="1:84" ht="22.5" customHeight="1">
      <c r="C30" s="589" t="s">
        <v>471</v>
      </c>
      <c r="D30" s="901">
        <f>IF(OR(F9="LT Enh",F9="LT Pack"),(D18+D29)*3+D20+D22+D24+D25+D26+D28,(D18+D20+D22+D24+D25+D26+D28+D29))</f>
        <v>0</v>
      </c>
      <c r="E30" s="575"/>
      <c r="F30" s="569"/>
      <c r="G30" s="558"/>
      <c r="H30" s="98"/>
      <c r="I30" s="96"/>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549"/>
      <c r="AI30" s="549"/>
      <c r="AJ30" s="549"/>
      <c r="AK30" s="549"/>
      <c r="AL30" s="549"/>
      <c r="AM30" s="549"/>
      <c r="AN30" s="549"/>
      <c r="AO30" s="549"/>
      <c r="AP30" s="549"/>
      <c r="AQ30" s="549"/>
      <c r="AR30" s="549"/>
      <c r="AS30" s="549"/>
      <c r="AT30" s="549"/>
      <c r="AU30" s="549"/>
      <c r="AV30" s="549"/>
      <c r="AW30" s="549"/>
      <c r="AX30" s="549"/>
      <c r="AY30" s="549"/>
      <c r="AZ30" s="549"/>
      <c r="BA30" s="549"/>
      <c r="BB30" s="549"/>
      <c r="BC30" s="549"/>
      <c r="BD30" s="549"/>
      <c r="BE30" s="549"/>
      <c r="BF30" s="549"/>
      <c r="BG30" s="549"/>
      <c r="BH30" s="549"/>
      <c r="BI30" s="549"/>
      <c r="BJ30" s="549"/>
      <c r="BK30" s="549"/>
      <c r="BL30" s="549"/>
      <c r="BM30" s="549"/>
      <c r="BN30" s="549"/>
      <c r="BO30" s="549"/>
      <c r="BP30" s="549"/>
      <c r="BQ30" s="549"/>
      <c r="BR30" s="99"/>
      <c r="BS30" s="99"/>
      <c r="BT30" s="99"/>
      <c r="BU30" s="99"/>
      <c r="BV30" s="99"/>
      <c r="BW30" s="99"/>
      <c r="BX30" s="99"/>
      <c r="BY30" s="99"/>
      <c r="BZ30" s="99"/>
      <c r="CA30" s="99"/>
      <c r="CB30" s="99"/>
      <c r="CC30" s="90"/>
      <c r="CD30" s="90"/>
      <c r="CE30" s="90"/>
      <c r="CF30" s="90"/>
    </row>
    <row r="31" spans="1:84" ht="22.5" customHeight="1">
      <c r="C31" s="589" t="s">
        <v>472</v>
      </c>
      <c r="D31" s="901">
        <f>D30+D16</f>
        <v>11902.098559999999</v>
      </c>
      <c r="E31" s="567"/>
      <c r="F31" s="577"/>
      <c r="G31" s="558"/>
      <c r="H31" s="98"/>
      <c r="I31" s="96"/>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549"/>
      <c r="AI31" s="549"/>
      <c r="AJ31" s="549"/>
      <c r="AK31" s="549"/>
      <c r="AL31" s="549"/>
      <c r="AM31" s="549"/>
      <c r="AN31" s="549"/>
      <c r="AO31" s="549"/>
      <c r="AP31" s="549"/>
      <c r="AQ31" s="549"/>
      <c r="AR31" s="549"/>
      <c r="AS31" s="549"/>
      <c r="AT31" s="549"/>
      <c r="AU31" s="549"/>
      <c r="AV31" s="549"/>
      <c r="AW31" s="549"/>
      <c r="AX31" s="549"/>
      <c r="AY31" s="549"/>
      <c r="AZ31" s="549"/>
      <c r="BA31" s="549"/>
      <c r="BB31" s="549"/>
      <c r="BC31" s="549"/>
      <c r="BD31" s="549"/>
      <c r="BE31" s="549"/>
      <c r="BF31" s="549"/>
      <c r="BG31" s="549"/>
      <c r="BH31" s="549"/>
      <c r="BI31" s="549"/>
      <c r="BJ31" s="549"/>
      <c r="BK31" s="549"/>
      <c r="BL31" s="549"/>
      <c r="BM31" s="549"/>
      <c r="BN31" s="549"/>
      <c r="BO31" s="549"/>
      <c r="BP31" s="549"/>
      <c r="BQ31" s="549"/>
      <c r="BR31" s="99"/>
      <c r="BS31" s="99"/>
      <c r="BT31" s="99"/>
      <c r="BU31" s="99"/>
      <c r="BV31" s="99"/>
      <c r="BW31" s="99"/>
      <c r="BX31" s="99"/>
      <c r="BY31" s="99"/>
      <c r="BZ31" s="99"/>
      <c r="CA31" s="99"/>
      <c r="CB31" s="99"/>
      <c r="CC31" s="90"/>
      <c r="CD31" s="90"/>
      <c r="CE31" s="90"/>
      <c r="CF31" s="90"/>
    </row>
    <row r="32" spans="1:84" ht="24.75" customHeight="1">
      <c r="C32" s="565"/>
      <c r="D32" s="574"/>
      <c r="E32" s="1029"/>
      <c r="F32" s="1029"/>
      <c r="G32" s="873"/>
      <c r="H32" s="98"/>
      <c r="I32" s="96"/>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549"/>
      <c r="AI32" s="549"/>
      <c r="AJ32" s="549"/>
      <c r="AK32" s="549"/>
      <c r="AL32" s="549"/>
      <c r="AM32" s="549"/>
      <c r="AN32" s="549"/>
      <c r="AO32" s="549"/>
      <c r="AP32" s="549"/>
      <c r="AQ32" s="549"/>
      <c r="AR32" s="549"/>
      <c r="AS32" s="549"/>
      <c r="AT32" s="549"/>
      <c r="AU32" s="549"/>
      <c r="AV32" s="549"/>
      <c r="AW32" s="549"/>
      <c r="AX32" s="549"/>
      <c r="AY32" s="549"/>
      <c r="AZ32" s="549"/>
      <c r="BA32" s="549"/>
      <c r="BB32" s="549"/>
      <c r="BC32" s="549"/>
      <c r="BD32" s="549"/>
      <c r="BE32" s="549"/>
      <c r="BF32" s="549"/>
      <c r="BG32" s="549"/>
      <c r="BH32" s="549"/>
      <c r="BI32" s="549"/>
      <c r="BJ32" s="549"/>
      <c r="BK32" s="549"/>
      <c r="BL32" s="549"/>
      <c r="BM32" s="549"/>
      <c r="BN32" s="549"/>
      <c r="BO32" s="549"/>
      <c r="BP32" s="549"/>
      <c r="BQ32" s="549"/>
      <c r="BR32" s="99"/>
      <c r="BS32" s="99"/>
      <c r="BT32" s="99"/>
      <c r="BU32" s="99"/>
      <c r="BV32" s="99"/>
      <c r="BW32" s="99"/>
      <c r="BX32" s="99"/>
      <c r="BY32" s="99"/>
      <c r="BZ32" s="99"/>
      <c r="CA32" s="99"/>
      <c r="CB32" s="99"/>
      <c r="CC32" s="90"/>
      <c r="CD32" s="90"/>
      <c r="CE32" s="90"/>
      <c r="CF32" s="90"/>
    </row>
    <row r="33" spans="1:84" ht="21.75" customHeight="1">
      <c r="C33" s="565"/>
      <c r="D33" s="574"/>
      <c r="E33" s="579"/>
      <c r="F33" s="577"/>
      <c r="G33" s="558"/>
      <c r="H33" s="98"/>
      <c r="I33" s="96"/>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549"/>
      <c r="AI33" s="549"/>
      <c r="AJ33" s="549"/>
      <c r="AK33" s="549"/>
      <c r="AL33" s="549"/>
      <c r="AM33" s="549"/>
      <c r="AN33" s="549"/>
      <c r="AO33" s="549"/>
      <c r="AP33" s="549"/>
      <c r="AQ33" s="549"/>
      <c r="AR33" s="549"/>
      <c r="AS33" s="549"/>
      <c r="AT33" s="549"/>
      <c r="AU33" s="549"/>
      <c r="AV33" s="549"/>
      <c r="AW33" s="549"/>
      <c r="AX33" s="549"/>
      <c r="AY33" s="549"/>
      <c r="AZ33" s="549"/>
      <c r="BA33" s="549"/>
      <c r="BB33" s="549"/>
      <c r="BC33" s="549"/>
      <c r="BD33" s="549"/>
      <c r="BE33" s="549"/>
      <c r="BF33" s="549"/>
      <c r="BG33" s="549"/>
      <c r="BH33" s="549"/>
      <c r="BI33" s="549"/>
      <c r="BJ33" s="549"/>
      <c r="BK33" s="549"/>
      <c r="BL33" s="549"/>
      <c r="BM33" s="549"/>
      <c r="BN33" s="549"/>
      <c r="BO33" s="549"/>
      <c r="BP33" s="549"/>
      <c r="BQ33" s="549"/>
      <c r="BR33" s="99"/>
      <c r="BS33" s="99"/>
      <c r="BT33" s="99"/>
      <c r="BU33" s="99"/>
      <c r="BV33" s="99"/>
      <c r="BW33" s="99"/>
      <c r="BX33" s="99"/>
      <c r="BY33" s="99"/>
      <c r="BZ33" s="99"/>
      <c r="CA33" s="99"/>
      <c r="CB33" s="99"/>
      <c r="CC33" s="90"/>
      <c r="CD33" s="90"/>
      <c r="CE33" s="90"/>
      <c r="CF33" s="90"/>
    </row>
    <row r="34" spans="1:84" ht="24" customHeight="1">
      <c r="C34" s="565"/>
      <c r="D34" s="565"/>
      <c r="E34" s="1033"/>
      <c r="F34" s="1033"/>
      <c r="G34" s="97"/>
      <c r="H34" s="96"/>
      <c r="I34" s="96"/>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549"/>
      <c r="AI34" s="549"/>
      <c r="AJ34" s="549"/>
      <c r="AK34" s="549"/>
      <c r="AL34" s="549"/>
      <c r="AM34" s="549"/>
      <c r="AN34" s="549"/>
      <c r="AO34" s="549"/>
      <c r="AP34" s="549"/>
      <c r="AQ34" s="549"/>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c r="BQ34" s="549"/>
      <c r="BR34" s="99"/>
      <c r="BS34" s="99"/>
      <c r="BT34" s="99"/>
      <c r="BU34" s="99"/>
      <c r="BV34" s="99"/>
      <c r="BW34" s="99"/>
      <c r="BX34" s="99"/>
      <c r="BY34" s="99"/>
      <c r="BZ34" s="99"/>
      <c r="CA34" s="99"/>
      <c r="CB34" s="99"/>
      <c r="CC34" s="90"/>
      <c r="CD34" s="90"/>
      <c r="CE34" s="90"/>
      <c r="CF34" s="90"/>
    </row>
    <row r="35" spans="1:84" ht="20.85" customHeight="1">
      <c r="C35" s="565"/>
      <c r="D35" s="565"/>
      <c r="E35" s="579"/>
      <c r="F35" s="581"/>
      <c r="G35" s="97"/>
      <c r="H35" s="96"/>
      <c r="I35" s="96"/>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549"/>
      <c r="AI35" s="549"/>
      <c r="AJ35" s="549"/>
      <c r="AK35" s="549"/>
      <c r="AL35" s="549"/>
      <c r="AM35" s="549"/>
      <c r="AN35" s="549"/>
      <c r="AO35" s="549"/>
      <c r="AP35" s="549"/>
      <c r="AQ35" s="549"/>
      <c r="AR35" s="549"/>
      <c r="AS35" s="549"/>
      <c r="AT35" s="549"/>
      <c r="AU35" s="549"/>
      <c r="AV35" s="549"/>
      <c r="AW35" s="549"/>
      <c r="AX35" s="549"/>
      <c r="AY35" s="549"/>
      <c r="AZ35" s="549"/>
      <c r="BA35" s="549"/>
      <c r="BB35" s="549"/>
      <c r="BC35" s="549"/>
      <c r="BD35" s="549"/>
      <c r="BE35" s="549"/>
      <c r="BF35" s="549"/>
      <c r="BG35" s="549"/>
      <c r="BH35" s="549"/>
      <c r="BI35" s="549"/>
      <c r="BJ35" s="549"/>
      <c r="BK35" s="549"/>
      <c r="BL35" s="549"/>
      <c r="BM35" s="549"/>
      <c r="BN35" s="549"/>
      <c r="BO35" s="549"/>
      <c r="BP35" s="549"/>
      <c r="BQ35" s="549"/>
      <c r="BR35" s="99"/>
      <c r="BS35" s="99"/>
      <c r="BT35" s="99"/>
      <c r="BU35" s="99"/>
      <c r="BV35" s="99"/>
      <c r="BW35" s="99"/>
      <c r="BX35" s="99"/>
      <c r="BY35" s="99"/>
      <c r="BZ35" s="99"/>
      <c r="CA35" s="99"/>
      <c r="CB35" s="99"/>
      <c r="CC35" s="90"/>
      <c r="CD35" s="90"/>
      <c r="CE35" s="90"/>
      <c r="CF35" s="90"/>
    </row>
    <row r="36" spans="1:84" ht="15" customHeight="1">
      <c r="C36" s="565"/>
      <c r="D36" s="565"/>
      <c r="E36" s="570"/>
      <c r="F36" s="583"/>
      <c r="G36" s="97"/>
      <c r="H36" s="96"/>
      <c r="I36" s="96"/>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549"/>
      <c r="AI36" s="549"/>
      <c r="AJ36" s="549"/>
      <c r="AK36" s="549"/>
      <c r="AL36" s="549"/>
      <c r="AM36" s="549"/>
      <c r="AN36" s="549"/>
      <c r="AO36" s="549"/>
      <c r="AP36" s="549"/>
      <c r="AQ36" s="549"/>
      <c r="AR36" s="549"/>
      <c r="AS36" s="549"/>
      <c r="AT36" s="549"/>
      <c r="AU36" s="549"/>
      <c r="AV36" s="549"/>
      <c r="AW36" s="549"/>
      <c r="AX36" s="549"/>
      <c r="AY36" s="549"/>
      <c r="AZ36" s="549"/>
      <c r="BA36" s="549"/>
      <c r="BB36" s="549"/>
      <c r="BC36" s="549"/>
      <c r="BD36" s="549"/>
      <c r="BE36" s="549"/>
      <c r="BF36" s="549"/>
      <c r="BG36" s="549"/>
      <c r="BH36" s="549"/>
      <c r="BI36" s="549"/>
      <c r="BJ36" s="549"/>
      <c r="BK36" s="549"/>
      <c r="BL36" s="549"/>
      <c r="BM36" s="549"/>
      <c r="BN36" s="549"/>
      <c r="BO36" s="549"/>
      <c r="BP36" s="549"/>
      <c r="BQ36" s="549"/>
      <c r="BR36" s="99"/>
      <c r="BS36" s="99"/>
      <c r="BT36" s="99"/>
      <c r="BU36" s="99"/>
      <c r="BV36" s="99"/>
      <c r="BW36" s="99"/>
      <c r="BX36" s="99"/>
      <c r="BY36" s="99"/>
      <c r="BZ36" s="99"/>
      <c r="CA36" s="99"/>
      <c r="CB36" s="99"/>
      <c r="CC36" s="90"/>
      <c r="CD36" s="90"/>
      <c r="CE36" s="90"/>
      <c r="CF36" s="90"/>
    </row>
    <row r="37" spans="1:84" ht="18.75">
      <c r="C37" s="584"/>
      <c r="D37" s="584"/>
      <c r="E37" s="103"/>
      <c r="F37" s="102"/>
      <c r="G37" s="97"/>
      <c r="H37" s="96"/>
      <c r="I37" s="96"/>
      <c r="J37" s="97"/>
      <c r="K37" s="494"/>
      <c r="L37" s="495"/>
      <c r="M37" s="494"/>
      <c r="N37" s="494"/>
      <c r="O37" s="494"/>
      <c r="P37" s="494"/>
      <c r="Q37" s="494"/>
      <c r="R37" s="97"/>
      <c r="S37" s="97"/>
      <c r="T37" s="97"/>
      <c r="U37" s="97"/>
      <c r="V37" s="97"/>
      <c r="W37" s="97"/>
      <c r="X37" s="97"/>
      <c r="Y37" s="97"/>
      <c r="Z37" s="97"/>
      <c r="AA37" s="97"/>
      <c r="AB37" s="97"/>
      <c r="AC37" s="97"/>
      <c r="AD37" s="97"/>
      <c r="AE37" s="97"/>
      <c r="AF37" s="97"/>
      <c r="AG37" s="97"/>
      <c r="AH37" s="549"/>
      <c r="AI37" s="549"/>
      <c r="AJ37" s="549"/>
      <c r="AK37" s="549"/>
      <c r="AL37" s="549"/>
      <c r="AM37" s="549"/>
      <c r="AN37" s="549"/>
      <c r="AO37" s="549"/>
      <c r="AP37" s="549"/>
      <c r="AQ37" s="549"/>
      <c r="AR37" s="549"/>
      <c r="AS37" s="549"/>
      <c r="AT37" s="549"/>
      <c r="AU37" s="549"/>
      <c r="AV37" s="549"/>
      <c r="AW37" s="549"/>
      <c r="AX37" s="549"/>
      <c r="AY37" s="549"/>
      <c r="AZ37" s="549"/>
      <c r="BA37" s="549"/>
      <c r="BB37" s="549"/>
      <c r="BC37" s="549"/>
      <c r="BD37" s="549"/>
      <c r="BE37" s="549"/>
      <c r="BF37" s="549"/>
      <c r="BG37" s="549"/>
      <c r="BH37" s="549"/>
      <c r="BI37" s="549"/>
      <c r="BJ37" s="549"/>
      <c r="BK37" s="549"/>
      <c r="BL37" s="549"/>
      <c r="BM37" s="549"/>
      <c r="BN37" s="549"/>
      <c r="BO37" s="549"/>
      <c r="BP37" s="549"/>
      <c r="BQ37" s="549"/>
      <c r="BR37" s="99"/>
      <c r="BS37" s="99"/>
      <c r="BT37" s="99"/>
      <c r="BU37" s="99"/>
      <c r="BV37" s="99"/>
      <c r="BW37" s="99"/>
      <c r="BX37" s="99"/>
      <c r="BY37" s="99"/>
      <c r="BZ37" s="99"/>
      <c r="CA37" s="99"/>
      <c r="CB37" s="99"/>
      <c r="CC37" s="90"/>
      <c r="CD37" s="90"/>
      <c r="CE37" s="90"/>
      <c r="CF37" s="90"/>
    </row>
    <row r="38" spans="1:84">
      <c r="C38" s="584"/>
      <c r="D38" s="584"/>
      <c r="E38" s="104"/>
      <c r="F38" s="104"/>
      <c r="G38" s="97"/>
      <c r="H38" s="96"/>
      <c r="I38" s="96"/>
      <c r="J38" s="97"/>
      <c r="K38" s="494"/>
      <c r="L38" s="494"/>
      <c r="M38" s="494"/>
      <c r="N38" s="494"/>
      <c r="O38" s="494"/>
      <c r="P38" s="494"/>
      <c r="Q38" s="494"/>
      <c r="R38" s="97"/>
      <c r="S38" s="97"/>
      <c r="T38" s="97"/>
      <c r="U38" s="97"/>
      <c r="V38" s="97"/>
      <c r="W38" s="97"/>
      <c r="X38" s="97"/>
      <c r="Y38" s="97"/>
      <c r="Z38" s="97"/>
      <c r="AA38" s="97"/>
      <c r="AB38" s="97"/>
      <c r="AC38" s="97"/>
      <c r="AD38" s="97"/>
      <c r="AE38" s="97"/>
      <c r="AF38" s="97"/>
      <c r="AG38" s="97"/>
      <c r="AH38" s="549"/>
      <c r="AI38" s="549"/>
      <c r="AJ38" s="549"/>
      <c r="AK38" s="549"/>
      <c r="AL38" s="549"/>
      <c r="AM38" s="549"/>
      <c r="AN38" s="549"/>
      <c r="AO38" s="549"/>
      <c r="AP38" s="549"/>
      <c r="AQ38" s="549"/>
      <c r="AR38" s="549"/>
      <c r="AS38" s="549"/>
      <c r="AT38" s="549"/>
      <c r="AU38" s="549"/>
      <c r="AV38" s="549"/>
      <c r="AW38" s="549"/>
      <c r="AX38" s="549"/>
      <c r="AY38" s="549"/>
      <c r="AZ38" s="549"/>
      <c r="BA38" s="549"/>
      <c r="BB38" s="549"/>
      <c r="BC38" s="549"/>
      <c r="BD38" s="549"/>
      <c r="BE38" s="549"/>
      <c r="BF38" s="549"/>
      <c r="BG38" s="549"/>
      <c r="BH38" s="549"/>
      <c r="BI38" s="549"/>
      <c r="BJ38" s="549"/>
      <c r="BK38" s="549"/>
      <c r="BL38" s="549"/>
      <c r="BM38" s="549"/>
      <c r="BN38" s="549"/>
      <c r="BO38" s="549"/>
      <c r="BP38" s="549"/>
      <c r="BQ38" s="549"/>
      <c r="BR38" s="99"/>
      <c r="BS38" s="99"/>
      <c r="BT38" s="99"/>
      <c r="BU38" s="99"/>
      <c r="BV38" s="99"/>
      <c r="BW38" s="99"/>
      <c r="BX38" s="99"/>
      <c r="BY38" s="99"/>
      <c r="BZ38" s="99"/>
      <c r="CA38" s="99"/>
      <c r="CB38" s="99"/>
      <c r="CC38" s="90"/>
      <c r="CD38" s="90"/>
      <c r="CE38" s="90"/>
      <c r="CF38" s="90"/>
    </row>
    <row r="39" spans="1:84">
      <c r="C39" s="584"/>
      <c r="D39" s="584"/>
      <c r="E39" s="104"/>
      <c r="F39" s="104"/>
      <c r="G39" s="97"/>
      <c r="H39" s="96"/>
      <c r="I39" s="96"/>
      <c r="J39" s="97"/>
      <c r="K39" s="494"/>
      <c r="L39" s="494"/>
      <c r="M39" s="494"/>
      <c r="N39" s="494"/>
      <c r="O39" s="494"/>
      <c r="P39" s="494"/>
      <c r="Q39" s="494"/>
      <c r="R39" s="97"/>
      <c r="S39" s="97"/>
      <c r="T39" s="97"/>
      <c r="U39" s="97"/>
      <c r="V39" s="97"/>
      <c r="W39" s="97"/>
      <c r="X39" s="97"/>
      <c r="Y39" s="97"/>
      <c r="Z39" s="97"/>
      <c r="AA39" s="97"/>
      <c r="AB39" s="97"/>
      <c r="AC39" s="97"/>
      <c r="AD39" s="97"/>
      <c r="AE39" s="97"/>
      <c r="AF39" s="97"/>
      <c r="AG39" s="97"/>
      <c r="AH39" s="549"/>
      <c r="AI39" s="549"/>
      <c r="AJ39" s="549"/>
      <c r="AK39" s="549"/>
      <c r="AL39" s="549"/>
      <c r="AM39" s="549"/>
      <c r="AN39" s="549"/>
      <c r="AO39" s="549"/>
      <c r="AP39" s="549"/>
      <c r="AQ39" s="549"/>
      <c r="AR39" s="549"/>
      <c r="AS39" s="549"/>
      <c r="AT39" s="549"/>
      <c r="AU39" s="549"/>
      <c r="AV39" s="549"/>
      <c r="AW39" s="549"/>
      <c r="AX39" s="549"/>
      <c r="AY39" s="549"/>
      <c r="AZ39" s="549"/>
      <c r="BA39" s="549"/>
      <c r="BB39" s="549"/>
      <c r="BC39" s="549"/>
      <c r="BD39" s="549"/>
      <c r="BE39" s="549"/>
      <c r="BF39" s="549"/>
      <c r="BG39" s="549"/>
      <c r="BH39" s="549"/>
      <c r="BI39" s="549"/>
      <c r="BJ39" s="549"/>
      <c r="BK39" s="549"/>
      <c r="BL39" s="549"/>
      <c r="BM39" s="549"/>
      <c r="BN39" s="549"/>
      <c r="BO39" s="549"/>
      <c r="BP39" s="549"/>
      <c r="BQ39" s="549"/>
      <c r="BR39" s="99"/>
      <c r="BS39" s="99"/>
      <c r="BT39" s="99"/>
      <c r="BU39" s="99"/>
      <c r="BV39" s="99"/>
      <c r="BW39" s="99"/>
      <c r="BX39" s="99"/>
      <c r="BY39" s="99"/>
      <c r="BZ39" s="99"/>
      <c r="CA39" s="99"/>
      <c r="CB39" s="99"/>
      <c r="CC39" s="90"/>
      <c r="CD39" s="90"/>
      <c r="CE39" s="90"/>
      <c r="CF39" s="90"/>
    </row>
    <row r="40" spans="1:84">
      <c r="C40" s="584"/>
      <c r="D40" s="584"/>
      <c r="E40" s="104"/>
      <c r="F40" s="104"/>
      <c r="G40" s="97"/>
      <c r="H40" s="96"/>
      <c r="I40" s="96"/>
      <c r="J40" s="97"/>
      <c r="K40" s="494"/>
      <c r="L40" s="494"/>
      <c r="M40" s="494"/>
      <c r="N40" s="494"/>
      <c r="O40" s="494"/>
      <c r="P40" s="494"/>
      <c r="Q40" s="494"/>
      <c r="R40" s="97"/>
      <c r="S40" s="97"/>
      <c r="T40" s="97"/>
      <c r="U40" s="97"/>
      <c r="V40" s="97"/>
      <c r="W40" s="97"/>
      <c r="X40" s="97"/>
      <c r="Y40" s="97"/>
      <c r="Z40" s="97"/>
      <c r="AA40" s="97"/>
      <c r="AB40" s="97"/>
      <c r="AC40" s="97"/>
      <c r="AD40" s="97"/>
      <c r="AE40" s="97"/>
      <c r="AF40" s="97"/>
      <c r="AG40" s="97"/>
      <c r="AH40" s="549"/>
      <c r="AI40" s="549"/>
      <c r="AJ40" s="549"/>
      <c r="AK40" s="549"/>
      <c r="AL40" s="549"/>
      <c r="AM40" s="549"/>
      <c r="AN40" s="549"/>
      <c r="AO40" s="549"/>
      <c r="AP40" s="549"/>
      <c r="AQ40" s="549"/>
      <c r="AR40" s="549"/>
      <c r="AS40" s="549"/>
      <c r="AT40" s="549"/>
      <c r="AU40" s="549"/>
      <c r="AV40" s="549"/>
      <c r="AW40" s="549"/>
      <c r="AX40" s="549"/>
      <c r="AY40" s="549"/>
      <c r="AZ40" s="549"/>
      <c r="BA40" s="549"/>
      <c r="BB40" s="549"/>
      <c r="BC40" s="549"/>
      <c r="BD40" s="549"/>
      <c r="BE40" s="549"/>
      <c r="BF40" s="549"/>
      <c r="BG40" s="549"/>
      <c r="BH40" s="549"/>
      <c r="BI40" s="549"/>
      <c r="BJ40" s="549"/>
      <c r="BK40" s="549"/>
      <c r="BL40" s="549"/>
      <c r="BM40" s="549"/>
      <c r="BN40" s="549"/>
      <c r="BO40" s="549"/>
      <c r="BP40" s="549"/>
      <c r="BQ40" s="549"/>
      <c r="BR40" s="99"/>
      <c r="BS40" s="99"/>
      <c r="BT40" s="99"/>
      <c r="BU40" s="99"/>
      <c r="BV40" s="99"/>
      <c r="BW40" s="99"/>
      <c r="BX40" s="99"/>
      <c r="BY40" s="99"/>
      <c r="BZ40" s="99"/>
      <c r="CA40" s="99"/>
      <c r="CB40" s="99"/>
      <c r="CC40" s="90"/>
      <c r="CD40" s="90"/>
      <c r="CE40" s="90"/>
      <c r="CF40" s="90"/>
    </row>
    <row r="41" spans="1:84">
      <c r="C41" s="584"/>
      <c r="D41" s="584"/>
      <c r="E41" s="104"/>
      <c r="F41" s="104"/>
      <c r="G41" s="97"/>
      <c r="H41" s="588"/>
      <c r="I41" s="588"/>
      <c r="J41" s="97"/>
      <c r="K41" s="494"/>
      <c r="L41" s="494"/>
      <c r="M41" s="494"/>
      <c r="N41" s="494"/>
      <c r="O41" s="494"/>
      <c r="P41" s="494"/>
      <c r="Q41" s="494"/>
      <c r="R41" s="97"/>
      <c r="S41" s="97"/>
      <c r="T41" s="97"/>
      <c r="U41" s="97"/>
      <c r="V41" s="97"/>
      <c r="W41" s="97"/>
      <c r="X41" s="97"/>
      <c r="Y41" s="97"/>
      <c r="Z41" s="97"/>
      <c r="AA41" s="97"/>
      <c r="AB41" s="97"/>
      <c r="AC41" s="97"/>
      <c r="AD41" s="97"/>
      <c r="AE41" s="97"/>
      <c r="AF41" s="97"/>
      <c r="AG41" s="97"/>
      <c r="AH41" s="549"/>
      <c r="AI41" s="549"/>
      <c r="AJ41" s="549"/>
      <c r="AK41" s="549"/>
      <c r="AL41" s="549"/>
      <c r="AM41" s="549"/>
      <c r="AN41" s="549"/>
      <c r="AO41" s="549"/>
      <c r="AP41" s="549"/>
      <c r="AQ41" s="549"/>
      <c r="AR41" s="549"/>
      <c r="AS41" s="549"/>
      <c r="AT41" s="549"/>
      <c r="AU41" s="549"/>
      <c r="AV41" s="549"/>
      <c r="AW41" s="549"/>
      <c r="AX41" s="549"/>
      <c r="AY41" s="549"/>
      <c r="AZ41" s="549"/>
      <c r="BA41" s="549"/>
      <c r="BB41" s="549"/>
      <c r="BC41" s="549"/>
      <c r="BD41" s="549"/>
      <c r="BE41" s="549"/>
      <c r="BF41" s="549"/>
      <c r="BG41" s="549"/>
      <c r="BH41" s="549"/>
      <c r="BI41" s="549"/>
      <c r="BJ41" s="549"/>
      <c r="BK41" s="549"/>
      <c r="BL41" s="549"/>
      <c r="BM41" s="549"/>
      <c r="BN41" s="549"/>
      <c r="BO41" s="549"/>
      <c r="BP41" s="549"/>
      <c r="BQ41" s="549"/>
      <c r="BR41" s="99"/>
      <c r="BS41" s="99"/>
      <c r="BT41" s="99"/>
      <c r="BU41" s="99"/>
      <c r="BV41" s="99"/>
      <c r="BW41" s="99"/>
      <c r="BX41" s="99"/>
      <c r="BY41" s="99"/>
      <c r="BZ41" s="99"/>
      <c r="CA41" s="99"/>
      <c r="CB41" s="99"/>
      <c r="CC41" s="90"/>
      <c r="CD41" s="90"/>
      <c r="CE41" s="90"/>
      <c r="CF41" s="90"/>
    </row>
    <row r="42" spans="1:84">
      <c r="C42" s="584"/>
      <c r="D42" s="584"/>
      <c r="E42" s="104"/>
      <c r="F42" s="104"/>
      <c r="G42" s="97"/>
      <c r="H42" s="588"/>
      <c r="I42" s="588"/>
      <c r="J42" s="97"/>
      <c r="K42" s="494"/>
      <c r="L42" s="494"/>
      <c r="M42" s="494"/>
      <c r="N42" s="494"/>
      <c r="O42" s="494"/>
      <c r="P42" s="494"/>
      <c r="Q42" s="494"/>
      <c r="R42" s="97"/>
      <c r="S42" s="97"/>
      <c r="T42" s="97"/>
      <c r="U42" s="97"/>
      <c r="V42" s="97"/>
      <c r="W42" s="97"/>
      <c r="X42" s="97"/>
      <c r="Y42" s="97"/>
      <c r="Z42" s="97"/>
      <c r="AA42" s="97"/>
      <c r="AB42" s="97"/>
      <c r="AC42" s="97"/>
      <c r="AD42" s="97"/>
      <c r="AE42" s="97"/>
      <c r="AF42" s="97"/>
      <c r="AG42" s="97"/>
      <c r="AH42" s="549"/>
      <c r="AI42" s="549"/>
      <c r="AJ42" s="549"/>
      <c r="AK42" s="549"/>
      <c r="AL42" s="549"/>
      <c r="AM42" s="549"/>
      <c r="AN42" s="549"/>
      <c r="AO42" s="549"/>
      <c r="AP42" s="549"/>
      <c r="AQ42" s="549"/>
      <c r="AR42" s="549"/>
      <c r="AS42" s="549"/>
      <c r="AT42" s="549"/>
      <c r="AU42" s="549"/>
      <c r="AV42" s="549"/>
      <c r="AW42" s="549"/>
      <c r="AX42" s="549"/>
      <c r="AY42" s="549"/>
      <c r="AZ42" s="549"/>
      <c r="BA42" s="549"/>
      <c r="BB42" s="549"/>
      <c r="BC42" s="549"/>
      <c r="BD42" s="549"/>
      <c r="BE42" s="549"/>
      <c r="BF42" s="549"/>
      <c r="BG42" s="549"/>
      <c r="BH42" s="549"/>
      <c r="BI42" s="549"/>
      <c r="BJ42" s="549"/>
      <c r="BK42" s="549"/>
      <c r="BL42" s="549"/>
      <c r="BM42" s="549"/>
      <c r="BN42" s="549"/>
      <c r="BO42" s="549"/>
      <c r="BP42" s="549"/>
      <c r="BQ42" s="549"/>
      <c r="BR42" s="99"/>
      <c r="BS42" s="99"/>
      <c r="BT42" s="99"/>
      <c r="BU42" s="99"/>
      <c r="BV42" s="99"/>
      <c r="BW42" s="99"/>
      <c r="BX42" s="99"/>
      <c r="BY42" s="99"/>
      <c r="BZ42" s="99"/>
      <c r="CA42" s="99"/>
      <c r="CB42" s="99"/>
      <c r="CC42" s="90"/>
      <c r="CD42" s="90"/>
      <c r="CE42" s="90"/>
      <c r="CF42" s="90"/>
    </row>
    <row r="43" spans="1:84">
      <c r="C43" s="584"/>
      <c r="D43" s="584"/>
      <c r="E43" s="104"/>
      <c r="F43" s="104"/>
      <c r="G43" s="97"/>
      <c r="H43" s="588"/>
      <c r="I43" s="588"/>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549"/>
      <c r="AI43" s="549"/>
      <c r="AJ43" s="549"/>
      <c r="AK43" s="549"/>
      <c r="AL43" s="549"/>
      <c r="AM43" s="549"/>
      <c r="AN43" s="549"/>
      <c r="AO43" s="549"/>
      <c r="AP43" s="549"/>
      <c r="AQ43" s="549"/>
      <c r="AR43" s="549"/>
      <c r="AS43" s="549"/>
      <c r="AT43" s="549"/>
      <c r="AU43" s="549"/>
      <c r="AV43" s="549"/>
      <c r="AW43" s="549"/>
      <c r="AX43" s="549"/>
      <c r="AY43" s="549"/>
      <c r="AZ43" s="549"/>
      <c r="BA43" s="549"/>
      <c r="BB43" s="549"/>
      <c r="BC43" s="549"/>
      <c r="BD43" s="549"/>
      <c r="BE43" s="549"/>
      <c r="BF43" s="549"/>
      <c r="BG43" s="549"/>
      <c r="BH43" s="549"/>
      <c r="BI43" s="549"/>
      <c r="BJ43" s="549"/>
      <c r="BK43" s="549"/>
      <c r="BL43" s="549"/>
      <c r="BM43" s="549"/>
      <c r="BN43" s="549"/>
      <c r="BO43" s="549"/>
      <c r="BP43" s="549"/>
      <c r="BQ43" s="549"/>
      <c r="BR43" s="99"/>
      <c r="BS43" s="99"/>
      <c r="BT43" s="99"/>
      <c r="BU43" s="99"/>
      <c r="BV43" s="99"/>
      <c r="BW43" s="99"/>
      <c r="BX43" s="99"/>
      <c r="BY43" s="99"/>
      <c r="BZ43" s="99"/>
      <c r="CA43" s="99"/>
      <c r="CB43" s="99"/>
      <c r="CC43" s="90"/>
      <c r="CD43" s="90"/>
      <c r="CE43" s="90"/>
      <c r="CF43" s="90"/>
    </row>
    <row r="44" spans="1:84" ht="16.5">
      <c r="C44" s="101"/>
      <c r="D44" s="101"/>
      <c r="E44" s="104"/>
      <c r="F44" s="104"/>
      <c r="G44" s="97"/>
      <c r="H44" s="590">
        <f>IF(B6="Yes",(B15+B16+B17+B18)*0.05,D6*0.04)</f>
        <v>0</v>
      </c>
      <c r="I44" s="588"/>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549"/>
      <c r="AI44" s="549"/>
      <c r="AJ44" s="549"/>
      <c r="AK44" s="549"/>
      <c r="AL44" s="549"/>
      <c r="AM44" s="549"/>
      <c r="AN44" s="549"/>
      <c r="AO44" s="549"/>
      <c r="AP44" s="549"/>
      <c r="AQ44" s="549"/>
      <c r="AR44" s="549"/>
      <c r="AS44" s="549"/>
      <c r="AT44" s="549"/>
      <c r="AU44" s="549"/>
      <c r="AV44" s="549"/>
      <c r="AW44" s="549"/>
      <c r="AX44" s="549"/>
      <c r="AY44" s="549"/>
      <c r="AZ44" s="549"/>
      <c r="BA44" s="549"/>
      <c r="BB44" s="549"/>
      <c r="BC44" s="549"/>
      <c r="BD44" s="549"/>
      <c r="BE44" s="549"/>
      <c r="BF44" s="549"/>
      <c r="BG44" s="549"/>
      <c r="BH44" s="549"/>
      <c r="BI44" s="549"/>
      <c r="BJ44" s="549"/>
      <c r="BK44" s="549"/>
      <c r="BL44" s="549"/>
      <c r="BM44" s="549"/>
      <c r="BN44" s="549"/>
      <c r="BO44" s="549"/>
      <c r="BP44" s="549"/>
      <c r="BQ44" s="549"/>
      <c r="BR44" s="99"/>
      <c r="BS44" s="99"/>
      <c r="BT44" s="99"/>
      <c r="BU44" s="99"/>
      <c r="BV44" s="99"/>
      <c r="BW44" s="99"/>
      <c r="BX44" s="99"/>
      <c r="BY44" s="99"/>
      <c r="BZ44" s="99"/>
      <c r="CA44" s="99"/>
      <c r="CB44" s="99"/>
      <c r="CC44" s="90"/>
      <c r="CD44" s="90"/>
      <c r="CE44" s="90"/>
      <c r="CF44" s="90"/>
    </row>
    <row r="45" spans="1:84" ht="16.5">
      <c r="C45" s="101"/>
      <c r="D45" s="101"/>
      <c r="E45" s="104"/>
      <c r="F45" s="104"/>
      <c r="G45" s="97"/>
      <c r="H45" s="591">
        <f>D4%*(B21+H44)</f>
        <v>0</v>
      </c>
      <c r="I45" s="588" t="s">
        <v>12</v>
      </c>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549"/>
      <c r="AI45" s="549"/>
      <c r="AJ45" s="549"/>
      <c r="AK45" s="549"/>
      <c r="AL45" s="549"/>
      <c r="AM45" s="549"/>
      <c r="AN45" s="549"/>
      <c r="AO45" s="549"/>
      <c r="AP45" s="549"/>
      <c r="AQ45" s="549"/>
      <c r="AR45" s="549"/>
      <c r="AS45" s="549"/>
      <c r="AT45" s="549"/>
      <c r="AU45" s="549"/>
      <c r="AV45" s="549"/>
      <c r="AW45" s="549"/>
      <c r="AX45" s="549"/>
      <c r="AY45" s="549"/>
      <c r="AZ45" s="549"/>
      <c r="BA45" s="549"/>
      <c r="BB45" s="549"/>
      <c r="BC45" s="549"/>
      <c r="BD45" s="549"/>
      <c r="BE45" s="549"/>
      <c r="BF45" s="549"/>
      <c r="BG45" s="549"/>
      <c r="BH45" s="549"/>
      <c r="BI45" s="549"/>
      <c r="BJ45" s="549"/>
      <c r="BK45" s="549"/>
      <c r="BL45" s="549"/>
      <c r="BM45" s="549"/>
      <c r="BN45" s="549"/>
      <c r="BO45" s="549"/>
      <c r="BP45" s="549"/>
      <c r="BQ45" s="549"/>
      <c r="BR45" s="99"/>
      <c r="BS45" s="99"/>
      <c r="BT45" s="99"/>
      <c r="BU45" s="99"/>
      <c r="BV45" s="99"/>
      <c r="BW45" s="99"/>
      <c r="BX45" s="99"/>
      <c r="BY45" s="99"/>
      <c r="BZ45" s="99"/>
      <c r="CA45" s="99"/>
      <c r="CB45" s="99"/>
      <c r="CC45" s="90"/>
      <c r="CD45" s="90"/>
      <c r="CE45" s="90"/>
      <c r="CF45" s="90"/>
    </row>
    <row r="46" spans="1:84">
      <c r="C46" s="101"/>
      <c r="D46" s="101"/>
      <c r="E46" s="104"/>
      <c r="F46" s="104"/>
      <c r="G46" s="97"/>
      <c r="H46" s="588"/>
      <c r="I46" s="588"/>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549"/>
      <c r="AI46" s="549"/>
      <c r="AJ46" s="549"/>
      <c r="AK46" s="549"/>
      <c r="AL46" s="549"/>
      <c r="AM46" s="549"/>
      <c r="AN46" s="549"/>
      <c r="AO46" s="549"/>
      <c r="AP46" s="549"/>
      <c r="AQ46" s="549"/>
      <c r="AR46" s="549"/>
      <c r="AS46" s="549"/>
      <c r="AT46" s="549"/>
      <c r="AU46" s="549"/>
      <c r="AV46" s="549"/>
      <c r="AW46" s="549"/>
      <c r="AX46" s="549"/>
      <c r="AY46" s="549"/>
      <c r="AZ46" s="549"/>
      <c r="BA46" s="549"/>
      <c r="BB46" s="549"/>
      <c r="BC46" s="549"/>
      <c r="BD46" s="549"/>
      <c r="BE46" s="549"/>
      <c r="BF46" s="549"/>
      <c r="BG46" s="549"/>
      <c r="BH46" s="549"/>
      <c r="BI46" s="549"/>
      <c r="BJ46" s="549"/>
      <c r="BK46" s="549"/>
      <c r="BL46" s="549"/>
      <c r="BM46" s="549"/>
      <c r="BN46" s="549"/>
      <c r="BO46" s="549"/>
      <c r="BP46" s="549"/>
      <c r="BQ46" s="549"/>
      <c r="BR46" s="99"/>
      <c r="BS46" s="99"/>
      <c r="BT46" s="99"/>
      <c r="BU46" s="99"/>
      <c r="BV46" s="99"/>
      <c r="BW46" s="99"/>
      <c r="BX46" s="99"/>
      <c r="BY46" s="99"/>
      <c r="BZ46" s="99"/>
      <c r="CA46" s="99"/>
      <c r="CB46" s="99"/>
      <c r="CC46" s="90"/>
      <c r="CD46" s="90"/>
      <c r="CE46" s="90"/>
      <c r="CF46" s="90"/>
    </row>
    <row r="47" spans="1:84">
      <c r="C47" s="101"/>
      <c r="D47" s="101"/>
      <c r="E47" s="104"/>
      <c r="F47" s="104"/>
      <c r="G47" s="97"/>
      <c r="H47" s="96"/>
      <c r="I47" s="96"/>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549"/>
      <c r="AI47" s="549"/>
      <c r="AJ47" s="549"/>
      <c r="AK47" s="549"/>
      <c r="AL47" s="549"/>
      <c r="AM47" s="549"/>
      <c r="AN47" s="549"/>
      <c r="AO47" s="549"/>
      <c r="AP47" s="549"/>
      <c r="AQ47" s="549"/>
      <c r="AR47" s="549"/>
      <c r="AS47" s="549"/>
      <c r="AT47" s="549"/>
      <c r="AU47" s="549"/>
      <c r="AV47" s="549"/>
      <c r="AW47" s="549"/>
      <c r="AX47" s="549"/>
      <c r="AY47" s="549"/>
      <c r="AZ47" s="549"/>
      <c r="BA47" s="549"/>
      <c r="BB47" s="549"/>
      <c r="BC47" s="549"/>
      <c r="BD47" s="549"/>
      <c r="BE47" s="549"/>
      <c r="BF47" s="549"/>
      <c r="BG47" s="549"/>
      <c r="BH47" s="549"/>
      <c r="BI47" s="549"/>
      <c r="BJ47" s="549"/>
      <c r="BK47" s="549"/>
      <c r="BL47" s="549"/>
      <c r="BM47" s="549"/>
      <c r="BN47" s="549"/>
      <c r="BO47" s="549"/>
      <c r="BP47" s="549"/>
      <c r="BQ47" s="549"/>
      <c r="BR47" s="99"/>
      <c r="BS47" s="99"/>
      <c r="BT47" s="99"/>
      <c r="BU47" s="99"/>
      <c r="BV47" s="99"/>
      <c r="BW47" s="99"/>
      <c r="BX47" s="99"/>
      <c r="BY47" s="99"/>
      <c r="BZ47" s="99"/>
      <c r="CA47" s="99"/>
      <c r="CB47" s="99"/>
      <c r="CC47" s="90"/>
      <c r="CD47" s="90"/>
      <c r="CE47" s="90"/>
      <c r="CF47" s="90"/>
    </row>
    <row r="48" spans="1:84">
      <c r="A48" s="101"/>
      <c r="B48" s="101"/>
      <c r="C48" s="101"/>
      <c r="D48" s="101"/>
      <c r="E48" s="104"/>
      <c r="F48" s="104"/>
      <c r="G48" s="97"/>
      <c r="H48" s="96"/>
      <c r="I48" s="96"/>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549"/>
      <c r="AI48" s="549"/>
      <c r="AJ48" s="549"/>
      <c r="AK48" s="549"/>
      <c r="AL48" s="549"/>
      <c r="AM48" s="549"/>
      <c r="AN48" s="549"/>
      <c r="AO48" s="549"/>
      <c r="AP48" s="549"/>
      <c r="AQ48" s="549"/>
      <c r="AR48" s="549"/>
      <c r="AS48" s="549"/>
      <c r="AT48" s="549"/>
      <c r="AU48" s="549"/>
      <c r="AV48" s="549"/>
      <c r="AW48" s="549"/>
      <c r="AX48" s="549"/>
      <c r="AY48" s="549"/>
      <c r="AZ48" s="549"/>
      <c r="BA48" s="549"/>
      <c r="BB48" s="549"/>
      <c r="BC48" s="549"/>
      <c r="BD48" s="549"/>
      <c r="BE48" s="549"/>
      <c r="BF48" s="549"/>
      <c r="BG48" s="549"/>
      <c r="BH48" s="549"/>
      <c r="BI48" s="549"/>
      <c r="BJ48" s="549"/>
      <c r="BK48" s="549"/>
      <c r="BL48" s="549"/>
      <c r="BM48" s="549"/>
      <c r="BN48" s="549"/>
      <c r="BO48" s="549"/>
      <c r="BP48" s="549"/>
      <c r="BQ48" s="549"/>
      <c r="BR48" s="99"/>
      <c r="BS48" s="99"/>
      <c r="BT48" s="99"/>
      <c r="BU48" s="99"/>
      <c r="BV48" s="99"/>
      <c r="BW48" s="99"/>
      <c r="BX48" s="99"/>
      <c r="BY48" s="99"/>
      <c r="BZ48" s="99"/>
      <c r="CA48" s="99"/>
      <c r="CB48" s="99"/>
      <c r="CC48" s="90"/>
      <c r="CD48" s="90"/>
      <c r="CE48" s="90"/>
      <c r="CF48" s="90"/>
    </row>
    <row r="49" spans="1:84">
      <c r="A49" s="101"/>
      <c r="B49" s="101"/>
      <c r="C49" s="101"/>
      <c r="D49" s="101"/>
      <c r="E49" s="104"/>
      <c r="F49" s="104"/>
      <c r="G49" s="97"/>
      <c r="H49" s="96"/>
      <c r="I49" s="96"/>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549"/>
      <c r="AI49" s="549"/>
      <c r="AJ49" s="549"/>
      <c r="AK49" s="549"/>
      <c r="AL49" s="549"/>
      <c r="AM49" s="549"/>
      <c r="AN49" s="549"/>
      <c r="AO49" s="549"/>
      <c r="AP49" s="549"/>
      <c r="AQ49" s="549"/>
      <c r="AR49" s="549"/>
      <c r="AS49" s="549"/>
      <c r="AT49" s="549"/>
      <c r="AU49" s="549"/>
      <c r="AV49" s="549"/>
      <c r="AW49" s="549"/>
      <c r="AX49" s="549"/>
      <c r="AY49" s="549"/>
      <c r="AZ49" s="549"/>
      <c r="BA49" s="549"/>
      <c r="BB49" s="549"/>
      <c r="BC49" s="549"/>
      <c r="BD49" s="549"/>
      <c r="BE49" s="549"/>
      <c r="BF49" s="549"/>
      <c r="BG49" s="549"/>
      <c r="BH49" s="549"/>
      <c r="BI49" s="549"/>
      <c r="BJ49" s="549"/>
      <c r="BK49" s="549"/>
      <c r="BL49" s="549"/>
      <c r="BM49" s="549"/>
      <c r="BN49" s="549"/>
      <c r="BO49" s="549"/>
      <c r="BP49" s="549"/>
      <c r="BQ49" s="549"/>
      <c r="BR49" s="99"/>
      <c r="BS49" s="99"/>
      <c r="BT49" s="99"/>
      <c r="BU49" s="99"/>
      <c r="BV49" s="99"/>
      <c r="BW49" s="99"/>
      <c r="BX49" s="99"/>
      <c r="BY49" s="99"/>
      <c r="BZ49" s="99"/>
      <c r="CA49" s="99"/>
      <c r="CB49" s="99"/>
      <c r="CC49" s="90"/>
      <c r="CD49" s="90"/>
      <c r="CE49" s="90"/>
      <c r="CF49" s="90"/>
    </row>
    <row r="50" spans="1:84">
      <c r="A50" s="101"/>
      <c r="B50" s="101"/>
      <c r="C50" s="101"/>
      <c r="D50" s="101"/>
      <c r="E50" s="104"/>
      <c r="F50" s="104"/>
      <c r="G50" s="97"/>
      <c r="H50" s="96"/>
      <c r="I50" s="96"/>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549"/>
      <c r="AI50" s="549"/>
      <c r="AJ50" s="549"/>
      <c r="AK50" s="549"/>
      <c r="AL50" s="549"/>
      <c r="AM50" s="549"/>
      <c r="AN50" s="549"/>
      <c r="AO50" s="549"/>
      <c r="AP50" s="549"/>
      <c r="AQ50" s="549"/>
      <c r="AR50" s="549"/>
      <c r="AS50" s="549"/>
      <c r="AT50" s="549"/>
      <c r="AU50" s="549"/>
      <c r="AV50" s="549"/>
      <c r="AW50" s="549"/>
      <c r="AX50" s="549"/>
      <c r="AY50" s="549"/>
      <c r="AZ50" s="549"/>
      <c r="BA50" s="549"/>
      <c r="BB50" s="549"/>
      <c r="BC50" s="549"/>
      <c r="BD50" s="549"/>
      <c r="BE50" s="549"/>
      <c r="BF50" s="549"/>
      <c r="BG50" s="549"/>
      <c r="BH50" s="549"/>
      <c r="BI50" s="549"/>
      <c r="BJ50" s="549"/>
      <c r="BK50" s="549"/>
      <c r="BL50" s="549"/>
      <c r="BM50" s="549"/>
      <c r="BN50" s="549"/>
      <c r="BO50" s="549"/>
      <c r="BP50" s="549"/>
      <c r="BQ50" s="549"/>
      <c r="BR50" s="99"/>
      <c r="BS50" s="99"/>
      <c r="BT50" s="99"/>
      <c r="BU50" s="99"/>
      <c r="BV50" s="99"/>
      <c r="BW50" s="99"/>
      <c r="BX50" s="99"/>
      <c r="BY50" s="99"/>
      <c r="BZ50" s="99"/>
      <c r="CA50" s="99"/>
      <c r="CB50" s="99"/>
      <c r="CC50" s="90"/>
      <c r="CD50" s="90"/>
      <c r="CE50" s="90"/>
      <c r="CF50" s="90"/>
    </row>
    <row r="51" spans="1:84">
      <c r="A51" s="101"/>
      <c r="B51" s="101"/>
      <c r="C51" s="101"/>
      <c r="D51" s="101"/>
      <c r="E51" s="104"/>
      <c r="F51" s="104"/>
      <c r="G51" s="97"/>
      <c r="H51" s="96"/>
      <c r="I51" s="96"/>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549"/>
      <c r="AI51" s="549"/>
      <c r="AJ51" s="549"/>
      <c r="AK51" s="549"/>
      <c r="AL51" s="549"/>
      <c r="AM51" s="549"/>
      <c r="AN51" s="549"/>
      <c r="AO51" s="549"/>
      <c r="AP51" s="549"/>
      <c r="AQ51" s="549"/>
      <c r="AR51" s="549"/>
      <c r="AS51" s="549"/>
      <c r="AT51" s="549"/>
      <c r="AU51" s="549"/>
      <c r="AV51" s="549"/>
      <c r="AW51" s="549"/>
      <c r="AX51" s="549"/>
      <c r="AY51" s="549"/>
      <c r="AZ51" s="549"/>
      <c r="BA51" s="549"/>
      <c r="BB51" s="549"/>
      <c r="BC51" s="549"/>
      <c r="BD51" s="549"/>
      <c r="BE51" s="549"/>
      <c r="BF51" s="549"/>
      <c r="BG51" s="549"/>
      <c r="BH51" s="549"/>
      <c r="BI51" s="549"/>
      <c r="BJ51" s="549"/>
      <c r="BK51" s="549"/>
      <c r="BL51" s="549"/>
      <c r="BM51" s="549"/>
      <c r="BN51" s="549"/>
      <c r="BO51" s="549"/>
      <c r="BP51" s="549"/>
      <c r="BQ51" s="549"/>
      <c r="BR51" s="99"/>
      <c r="BS51" s="99"/>
      <c r="BT51" s="99"/>
      <c r="BU51" s="99"/>
      <c r="BV51" s="99"/>
      <c r="BW51" s="99"/>
      <c r="BX51" s="99"/>
      <c r="BY51" s="99"/>
      <c r="BZ51" s="99"/>
      <c r="CA51" s="99"/>
      <c r="CB51" s="99"/>
      <c r="CC51" s="90"/>
      <c r="CD51" s="90"/>
      <c r="CE51" s="90"/>
      <c r="CF51" s="90"/>
    </row>
    <row r="52" spans="1:84">
      <c r="A52" s="101"/>
      <c r="B52" s="101"/>
      <c r="C52" s="101"/>
      <c r="D52" s="101"/>
      <c r="E52" s="105"/>
      <c r="F52" s="106"/>
      <c r="G52" s="97"/>
      <c r="H52" s="96"/>
      <c r="I52" s="96"/>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549"/>
      <c r="AI52" s="549"/>
      <c r="AJ52" s="549"/>
      <c r="AK52" s="549"/>
      <c r="AL52" s="549"/>
      <c r="AM52" s="549"/>
      <c r="AN52" s="549"/>
      <c r="AO52" s="549"/>
      <c r="AP52" s="549"/>
      <c r="AQ52" s="549"/>
      <c r="AR52" s="549"/>
      <c r="AS52" s="549"/>
      <c r="AT52" s="549"/>
      <c r="AU52" s="549"/>
      <c r="AV52" s="549"/>
      <c r="AW52" s="549"/>
      <c r="AX52" s="549"/>
      <c r="AY52" s="549"/>
      <c r="AZ52" s="549"/>
      <c r="BA52" s="549"/>
      <c r="BB52" s="549"/>
      <c r="BC52" s="549"/>
      <c r="BD52" s="549"/>
      <c r="BE52" s="549"/>
      <c r="BF52" s="549"/>
      <c r="BG52" s="549"/>
      <c r="BH52" s="549"/>
      <c r="BI52" s="549"/>
      <c r="BJ52" s="549"/>
      <c r="BK52" s="549"/>
      <c r="BL52" s="549"/>
      <c r="BM52" s="549"/>
      <c r="BN52" s="549"/>
      <c r="BO52" s="549"/>
      <c r="BP52" s="549"/>
      <c r="BQ52" s="549"/>
      <c r="BR52" s="99"/>
      <c r="BS52" s="99"/>
      <c r="BT52" s="99"/>
      <c r="BU52" s="99"/>
      <c r="BV52" s="99"/>
      <c r="BW52" s="99"/>
      <c r="BX52" s="99"/>
      <c r="BY52" s="99"/>
      <c r="BZ52" s="99"/>
      <c r="CA52" s="99"/>
      <c r="CB52" s="99"/>
      <c r="CC52" s="90"/>
      <c r="CD52" s="90"/>
      <c r="CE52" s="90"/>
      <c r="CF52" s="90"/>
    </row>
    <row r="53" spans="1:84">
      <c r="A53" s="101"/>
      <c r="B53" s="101"/>
      <c r="C53" s="101"/>
      <c r="D53" s="101"/>
      <c r="E53" s="370"/>
      <c r="F53" s="106"/>
      <c r="G53" s="97"/>
      <c r="H53" s="96"/>
      <c r="I53" s="96"/>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549"/>
      <c r="AI53" s="549"/>
      <c r="AJ53" s="549"/>
      <c r="AK53" s="549"/>
      <c r="AL53" s="549"/>
      <c r="AM53" s="549"/>
      <c r="AN53" s="549"/>
      <c r="AO53" s="549"/>
      <c r="AP53" s="549"/>
      <c r="AQ53" s="549"/>
      <c r="AR53" s="549"/>
      <c r="AS53" s="549"/>
      <c r="AT53" s="549"/>
      <c r="AU53" s="549"/>
      <c r="AV53" s="549"/>
      <c r="AW53" s="549"/>
      <c r="AX53" s="549"/>
      <c r="AY53" s="549"/>
      <c r="AZ53" s="549"/>
      <c r="BA53" s="549"/>
      <c r="BB53" s="549"/>
      <c r="BC53" s="549"/>
      <c r="BD53" s="549"/>
      <c r="BE53" s="549"/>
      <c r="BF53" s="549"/>
      <c r="BG53" s="549"/>
      <c r="BH53" s="549"/>
      <c r="BI53" s="549"/>
      <c r="BJ53" s="549"/>
      <c r="BK53" s="549"/>
      <c r="BL53" s="549"/>
      <c r="BM53" s="549"/>
      <c r="BN53" s="549"/>
      <c r="BO53" s="549"/>
      <c r="BP53" s="549"/>
      <c r="BQ53" s="549"/>
      <c r="BR53" s="99"/>
      <c r="BS53" s="99"/>
      <c r="BT53" s="99"/>
      <c r="BU53" s="99"/>
      <c r="BV53" s="99"/>
      <c r="BW53" s="99"/>
      <c r="BX53" s="99"/>
      <c r="BY53" s="99"/>
      <c r="BZ53" s="99"/>
      <c r="CA53" s="99"/>
      <c r="CB53" s="99"/>
      <c r="CC53" s="90"/>
      <c r="CD53" s="90"/>
      <c r="CE53" s="90"/>
      <c r="CF53" s="90"/>
    </row>
    <row r="54" spans="1:84">
      <c r="A54" s="101"/>
      <c r="B54" s="101"/>
      <c r="C54" s="101"/>
      <c r="D54" s="101"/>
      <c r="E54" s="104"/>
      <c r="F54" s="104"/>
      <c r="G54" s="97"/>
      <c r="H54" s="96"/>
      <c r="I54" s="96"/>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549"/>
      <c r="AI54" s="549"/>
      <c r="AJ54" s="549"/>
      <c r="AK54" s="549"/>
      <c r="AL54" s="549"/>
      <c r="AM54" s="549"/>
      <c r="AN54" s="549"/>
      <c r="AO54" s="549"/>
      <c r="AP54" s="549"/>
      <c r="AQ54" s="549"/>
      <c r="AR54" s="549"/>
      <c r="AS54" s="549"/>
      <c r="AT54" s="549"/>
      <c r="AU54" s="549"/>
      <c r="AV54" s="549"/>
      <c r="AW54" s="549"/>
      <c r="AX54" s="549"/>
      <c r="AY54" s="549"/>
      <c r="AZ54" s="549"/>
      <c r="BA54" s="549"/>
      <c r="BB54" s="549"/>
      <c r="BC54" s="549"/>
      <c r="BD54" s="549"/>
      <c r="BE54" s="549"/>
      <c r="BF54" s="549"/>
      <c r="BG54" s="549"/>
      <c r="BH54" s="549"/>
      <c r="BI54" s="549"/>
      <c r="BJ54" s="549"/>
      <c r="BK54" s="549"/>
      <c r="BL54" s="549"/>
      <c r="BM54" s="549"/>
      <c r="BN54" s="549"/>
      <c r="BO54" s="549"/>
      <c r="BP54" s="549"/>
      <c r="BQ54" s="549"/>
      <c r="BR54" s="99"/>
      <c r="BS54" s="99"/>
      <c r="BT54" s="99"/>
      <c r="BU54" s="99"/>
      <c r="BV54" s="99"/>
      <c r="BW54" s="99"/>
      <c r="BX54" s="99"/>
      <c r="BY54" s="99"/>
      <c r="BZ54" s="99"/>
      <c r="CA54" s="99"/>
      <c r="CB54" s="99"/>
      <c r="CC54" s="90"/>
      <c r="CD54" s="90"/>
      <c r="CE54" s="90"/>
      <c r="CF54" s="90"/>
    </row>
    <row r="55" spans="1:84">
      <c r="A55" s="101"/>
      <c r="B55" s="101"/>
      <c r="C55" s="101"/>
      <c r="D55" s="101"/>
      <c r="E55" s="104"/>
      <c r="F55" s="104"/>
      <c r="G55" s="97"/>
      <c r="H55" s="96"/>
      <c r="I55" s="96"/>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549"/>
      <c r="AI55" s="549"/>
      <c r="AJ55" s="549"/>
      <c r="AK55" s="549"/>
      <c r="AL55" s="549"/>
      <c r="AM55" s="549"/>
      <c r="AN55" s="549"/>
      <c r="AO55" s="549"/>
      <c r="AP55" s="549"/>
      <c r="AQ55" s="549"/>
      <c r="AR55" s="549"/>
      <c r="AS55" s="549"/>
      <c r="AT55" s="549"/>
      <c r="AU55" s="549"/>
      <c r="AV55" s="549"/>
      <c r="AW55" s="549"/>
      <c r="AX55" s="549"/>
      <c r="AY55" s="549"/>
      <c r="AZ55" s="549"/>
      <c r="BA55" s="549"/>
      <c r="BB55" s="549"/>
      <c r="BC55" s="549"/>
      <c r="BD55" s="549"/>
      <c r="BE55" s="549"/>
      <c r="BF55" s="549"/>
      <c r="BG55" s="549"/>
      <c r="BH55" s="549"/>
      <c r="BI55" s="549"/>
      <c r="BJ55" s="549"/>
      <c r="BK55" s="549"/>
      <c r="BL55" s="549"/>
      <c r="BM55" s="549"/>
      <c r="BN55" s="549"/>
      <c r="BO55" s="549"/>
      <c r="BP55" s="549"/>
      <c r="BQ55" s="549"/>
      <c r="BR55" s="99"/>
      <c r="BS55" s="99"/>
      <c r="BT55" s="99"/>
      <c r="BU55" s="99"/>
      <c r="BV55" s="99"/>
      <c r="BW55" s="99"/>
      <c r="BX55" s="99"/>
      <c r="BY55" s="99"/>
      <c r="BZ55" s="99"/>
      <c r="CA55" s="99"/>
      <c r="CB55" s="99"/>
      <c r="CC55" s="90"/>
      <c r="CD55" s="90"/>
      <c r="CE55" s="90"/>
      <c r="CF55" s="90"/>
    </row>
    <row r="56" spans="1:84">
      <c r="A56" s="101"/>
      <c r="B56" s="101"/>
      <c r="C56" s="101"/>
      <c r="D56" s="101"/>
      <c r="E56" s="104"/>
      <c r="F56" s="104"/>
      <c r="G56" s="97"/>
      <c r="H56" s="96"/>
      <c r="I56" s="96"/>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549"/>
      <c r="AI56" s="549"/>
      <c r="AJ56" s="549"/>
      <c r="AK56" s="549"/>
      <c r="AL56" s="549"/>
      <c r="AM56" s="549"/>
      <c r="AN56" s="549"/>
      <c r="AO56" s="549"/>
      <c r="AP56" s="549"/>
      <c r="AQ56" s="549"/>
      <c r="AR56" s="549"/>
      <c r="AS56" s="549"/>
      <c r="AT56" s="549"/>
      <c r="AU56" s="549"/>
      <c r="AV56" s="549"/>
      <c r="AW56" s="549"/>
      <c r="AX56" s="549"/>
      <c r="AY56" s="549"/>
      <c r="AZ56" s="549"/>
      <c r="BA56" s="549"/>
      <c r="BB56" s="549"/>
      <c r="BC56" s="549"/>
      <c r="BD56" s="549"/>
      <c r="BE56" s="549"/>
      <c r="BF56" s="549"/>
      <c r="BG56" s="549"/>
      <c r="BH56" s="549"/>
      <c r="BI56" s="549"/>
      <c r="BJ56" s="549"/>
      <c r="BK56" s="549"/>
      <c r="BL56" s="549"/>
      <c r="BM56" s="549"/>
      <c r="BN56" s="549"/>
      <c r="BO56" s="549"/>
      <c r="BP56" s="549"/>
      <c r="BQ56" s="549"/>
      <c r="BR56" s="99"/>
      <c r="BS56" s="99"/>
      <c r="BT56" s="99"/>
      <c r="BU56" s="99"/>
      <c r="BV56" s="99"/>
      <c r="BW56" s="99"/>
      <c r="BX56" s="99"/>
      <c r="BY56" s="99"/>
      <c r="BZ56" s="99"/>
      <c r="CA56" s="99"/>
      <c r="CB56" s="99"/>
      <c r="CC56" s="90"/>
      <c r="CD56" s="90"/>
      <c r="CE56" s="90"/>
      <c r="CF56" s="90"/>
    </row>
    <row r="57" spans="1:84">
      <c r="A57" s="101"/>
      <c r="B57" s="101"/>
      <c r="C57" s="101"/>
      <c r="D57" s="101"/>
      <c r="E57" s="104"/>
      <c r="F57" s="104"/>
      <c r="G57" s="97"/>
      <c r="H57" s="96"/>
      <c r="I57" s="96"/>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549"/>
      <c r="AI57" s="549"/>
      <c r="AJ57" s="549"/>
      <c r="AK57" s="549"/>
      <c r="AL57" s="549"/>
      <c r="AM57" s="549"/>
      <c r="AN57" s="549"/>
      <c r="AO57" s="549"/>
      <c r="AP57" s="549"/>
      <c r="AQ57" s="549"/>
      <c r="AR57" s="549"/>
      <c r="AS57" s="549"/>
      <c r="AT57" s="549"/>
      <c r="AU57" s="549"/>
      <c r="AV57" s="549"/>
      <c r="AW57" s="549"/>
      <c r="AX57" s="549"/>
      <c r="AY57" s="549"/>
      <c r="AZ57" s="549"/>
      <c r="BA57" s="549"/>
      <c r="BB57" s="549"/>
      <c r="BC57" s="549"/>
      <c r="BD57" s="549"/>
      <c r="BE57" s="549"/>
      <c r="BF57" s="549"/>
      <c r="BG57" s="549"/>
      <c r="BH57" s="549"/>
      <c r="BI57" s="549"/>
      <c r="BJ57" s="549"/>
      <c r="BK57" s="549"/>
      <c r="BL57" s="549"/>
      <c r="BM57" s="549"/>
      <c r="BN57" s="549"/>
      <c r="BO57" s="549"/>
      <c r="BP57" s="549"/>
      <c r="BQ57" s="549"/>
      <c r="BR57" s="99"/>
      <c r="BS57" s="99"/>
      <c r="BT57" s="99"/>
      <c r="BU57" s="99"/>
      <c r="BV57" s="99"/>
      <c r="BW57" s="99"/>
      <c r="BX57" s="99"/>
      <c r="BY57" s="99"/>
      <c r="BZ57" s="99"/>
      <c r="CA57" s="99"/>
      <c r="CB57" s="99"/>
      <c r="CC57" s="90"/>
      <c r="CD57" s="90"/>
      <c r="CE57" s="90"/>
      <c r="CF57" s="90"/>
    </row>
    <row r="58" spans="1:84">
      <c r="A58" s="101"/>
      <c r="B58" s="101"/>
      <c r="C58" s="101"/>
      <c r="D58" s="101"/>
      <c r="E58" s="104"/>
      <c r="F58" s="104"/>
      <c r="G58" s="97"/>
      <c r="H58" s="96"/>
      <c r="I58" s="96"/>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549"/>
      <c r="AI58" s="549"/>
      <c r="AJ58" s="549"/>
      <c r="AK58" s="549"/>
      <c r="AL58" s="549"/>
      <c r="AM58" s="549"/>
      <c r="AN58" s="549"/>
      <c r="AO58" s="549"/>
      <c r="AP58" s="549"/>
      <c r="AQ58" s="549"/>
      <c r="AR58" s="549"/>
      <c r="AS58" s="549"/>
      <c r="AT58" s="549"/>
      <c r="AU58" s="549"/>
      <c r="AV58" s="549"/>
      <c r="AW58" s="549"/>
      <c r="AX58" s="549"/>
      <c r="AY58" s="549"/>
      <c r="AZ58" s="549"/>
      <c r="BA58" s="549"/>
      <c r="BB58" s="549"/>
      <c r="BC58" s="549"/>
      <c r="BD58" s="549"/>
      <c r="BE58" s="549"/>
      <c r="BF58" s="549"/>
      <c r="BG58" s="549"/>
      <c r="BH58" s="549"/>
      <c r="BI58" s="549"/>
      <c r="BJ58" s="549"/>
      <c r="BK58" s="549"/>
      <c r="BL58" s="549"/>
      <c r="BM58" s="549"/>
      <c r="BN58" s="549"/>
      <c r="BO58" s="549"/>
      <c r="BP58" s="549"/>
      <c r="BQ58" s="549"/>
      <c r="BR58" s="99"/>
      <c r="BS58" s="99"/>
      <c r="BT58" s="99"/>
      <c r="BU58" s="99"/>
      <c r="BV58" s="99"/>
      <c r="BW58" s="99"/>
      <c r="BX58" s="99"/>
      <c r="BY58" s="99"/>
      <c r="BZ58" s="99"/>
      <c r="CA58" s="99"/>
      <c r="CB58" s="99"/>
      <c r="CC58" s="90"/>
      <c r="CD58" s="90"/>
      <c r="CE58" s="90"/>
      <c r="CF58" s="90"/>
    </row>
    <row r="59" spans="1:84">
      <c r="A59" s="101"/>
      <c r="B59" s="101"/>
      <c r="C59" s="101"/>
      <c r="D59" s="101"/>
      <c r="E59" s="104"/>
      <c r="F59" s="104"/>
      <c r="G59" s="97"/>
      <c r="H59" s="96"/>
      <c r="I59" s="96"/>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549"/>
      <c r="AI59" s="549"/>
      <c r="AJ59" s="549"/>
      <c r="AK59" s="549"/>
      <c r="AL59" s="549"/>
      <c r="AM59" s="549"/>
      <c r="AN59" s="549"/>
      <c r="AO59" s="549"/>
      <c r="AP59" s="549"/>
      <c r="AQ59" s="549"/>
      <c r="AR59" s="549"/>
      <c r="AS59" s="549"/>
      <c r="AT59" s="549"/>
      <c r="AU59" s="549"/>
      <c r="AV59" s="549"/>
      <c r="AW59" s="549"/>
      <c r="AX59" s="549"/>
      <c r="AY59" s="549"/>
      <c r="AZ59" s="549"/>
      <c r="BA59" s="549"/>
      <c r="BB59" s="549"/>
      <c r="BC59" s="549"/>
      <c r="BD59" s="549"/>
      <c r="BE59" s="549"/>
      <c r="BF59" s="549"/>
      <c r="BG59" s="549"/>
      <c r="BH59" s="549"/>
      <c r="BI59" s="549"/>
      <c r="BJ59" s="549"/>
      <c r="BK59" s="549"/>
      <c r="BL59" s="549"/>
      <c r="BM59" s="549"/>
      <c r="BN59" s="549"/>
      <c r="BO59" s="549"/>
      <c r="BP59" s="549"/>
      <c r="BQ59" s="549"/>
      <c r="BR59" s="99"/>
      <c r="BS59" s="99"/>
      <c r="BT59" s="99"/>
      <c r="BU59" s="99"/>
      <c r="BV59" s="99"/>
      <c r="BW59" s="99"/>
      <c r="BX59" s="99"/>
      <c r="BY59" s="99"/>
      <c r="BZ59" s="99"/>
      <c r="CA59" s="99"/>
      <c r="CB59" s="99"/>
      <c r="CC59" s="90"/>
      <c r="CD59" s="90"/>
      <c r="CE59" s="90"/>
      <c r="CF59" s="90"/>
    </row>
    <row r="60" spans="1:84">
      <c r="A60" s="101"/>
      <c r="B60" s="101"/>
      <c r="C60" s="101"/>
      <c r="D60" s="101"/>
      <c r="E60" s="104"/>
      <c r="F60" s="104"/>
      <c r="G60" s="97"/>
      <c r="H60" s="96"/>
      <c r="I60" s="96"/>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549"/>
      <c r="AI60" s="549"/>
      <c r="AJ60" s="549"/>
      <c r="AK60" s="549"/>
      <c r="AL60" s="549"/>
      <c r="AM60" s="549"/>
      <c r="AN60" s="549"/>
      <c r="AO60" s="549"/>
      <c r="AP60" s="549"/>
      <c r="AQ60" s="549"/>
      <c r="AR60" s="549"/>
      <c r="AS60" s="549"/>
      <c r="AT60" s="549"/>
      <c r="AU60" s="549"/>
      <c r="AV60" s="549"/>
      <c r="AW60" s="549"/>
      <c r="AX60" s="549"/>
      <c r="AY60" s="549"/>
      <c r="AZ60" s="549"/>
      <c r="BA60" s="549"/>
      <c r="BB60" s="549"/>
      <c r="BC60" s="549"/>
      <c r="BD60" s="549"/>
      <c r="BE60" s="549"/>
      <c r="BF60" s="549"/>
      <c r="BG60" s="549"/>
      <c r="BH60" s="549"/>
      <c r="BI60" s="549"/>
      <c r="BJ60" s="549"/>
      <c r="BK60" s="549"/>
      <c r="BL60" s="549"/>
      <c r="BM60" s="549"/>
      <c r="BN60" s="549"/>
      <c r="BO60" s="549"/>
      <c r="BP60" s="549"/>
      <c r="BQ60" s="549"/>
      <c r="BR60" s="99"/>
      <c r="BS60" s="99"/>
      <c r="BT60" s="99"/>
      <c r="BU60" s="99"/>
      <c r="BV60" s="99"/>
      <c r="BW60" s="99"/>
      <c r="BX60" s="99"/>
      <c r="BY60" s="99"/>
      <c r="BZ60" s="99"/>
      <c r="CA60" s="99"/>
      <c r="CB60" s="99"/>
      <c r="CC60" s="90"/>
      <c r="CD60" s="90"/>
      <c r="CE60" s="90"/>
      <c r="CF60" s="90"/>
    </row>
    <row r="61" spans="1:84">
      <c r="A61" s="101"/>
      <c r="B61" s="101"/>
      <c r="C61" s="101"/>
      <c r="D61" s="101"/>
      <c r="E61" s="104"/>
      <c r="F61" s="104"/>
      <c r="G61" s="97"/>
      <c r="H61" s="96"/>
      <c r="I61" s="96"/>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549"/>
      <c r="AI61" s="549"/>
      <c r="AJ61" s="549"/>
      <c r="AK61" s="549"/>
      <c r="AL61" s="549"/>
      <c r="AM61" s="549"/>
      <c r="AN61" s="549"/>
      <c r="AO61" s="549"/>
      <c r="AP61" s="549"/>
      <c r="AQ61" s="549"/>
      <c r="AR61" s="549"/>
      <c r="AS61" s="549"/>
      <c r="AT61" s="549"/>
      <c r="AU61" s="549"/>
      <c r="AV61" s="549"/>
      <c r="AW61" s="549"/>
      <c r="AX61" s="549"/>
      <c r="AY61" s="549"/>
      <c r="AZ61" s="549"/>
      <c r="BA61" s="549"/>
      <c r="BB61" s="549"/>
      <c r="BC61" s="549"/>
      <c r="BD61" s="549"/>
      <c r="BE61" s="549"/>
      <c r="BF61" s="549"/>
      <c r="BG61" s="549"/>
      <c r="BH61" s="549"/>
      <c r="BI61" s="549"/>
      <c r="BJ61" s="549"/>
      <c r="BK61" s="549"/>
      <c r="BL61" s="549"/>
      <c r="BM61" s="549"/>
      <c r="BN61" s="549"/>
      <c r="BO61" s="549"/>
      <c r="BP61" s="549"/>
      <c r="BQ61" s="549"/>
      <c r="BR61" s="99"/>
      <c r="BS61" s="99"/>
      <c r="BT61" s="99"/>
      <c r="BU61" s="99"/>
      <c r="BV61" s="99"/>
      <c r="BW61" s="99"/>
      <c r="BX61" s="99"/>
      <c r="BY61" s="99"/>
      <c r="BZ61" s="99"/>
      <c r="CA61" s="99"/>
      <c r="CB61" s="99"/>
      <c r="CC61" s="90"/>
      <c r="CD61" s="90"/>
      <c r="CE61" s="90"/>
      <c r="CF61" s="90"/>
    </row>
    <row r="62" spans="1:84">
      <c r="A62" s="97"/>
      <c r="B62" s="97"/>
      <c r="C62" s="97"/>
      <c r="D62" s="97"/>
      <c r="E62" s="104"/>
      <c r="F62" s="104"/>
      <c r="G62" s="97"/>
      <c r="H62" s="96"/>
      <c r="I62" s="96"/>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549"/>
      <c r="AI62" s="549"/>
      <c r="AJ62" s="549"/>
      <c r="AK62" s="549"/>
      <c r="AL62" s="549"/>
      <c r="AM62" s="549"/>
      <c r="AN62" s="549"/>
      <c r="AO62" s="549"/>
      <c r="AP62" s="549"/>
      <c r="AQ62" s="549"/>
      <c r="AR62" s="549"/>
      <c r="AS62" s="549"/>
      <c r="AT62" s="549"/>
      <c r="AU62" s="549"/>
      <c r="AV62" s="549"/>
      <c r="AW62" s="549"/>
      <c r="AX62" s="549"/>
      <c r="AY62" s="549"/>
      <c r="AZ62" s="549"/>
      <c r="BA62" s="549"/>
      <c r="BB62" s="549"/>
      <c r="BC62" s="549"/>
      <c r="BD62" s="549"/>
      <c r="BE62" s="549"/>
      <c r="BF62" s="549"/>
      <c r="BG62" s="549"/>
      <c r="BH62" s="549"/>
      <c r="BI62" s="549"/>
      <c r="BJ62" s="549"/>
      <c r="BK62" s="549"/>
      <c r="BL62" s="549"/>
      <c r="BM62" s="549"/>
      <c r="BN62" s="549"/>
      <c r="BO62" s="549"/>
      <c r="BP62" s="549"/>
      <c r="BQ62" s="549"/>
      <c r="BR62" s="99"/>
      <c r="BS62" s="99"/>
      <c r="BT62" s="99"/>
      <c r="BU62" s="99"/>
      <c r="BV62" s="99"/>
      <c r="BW62" s="99"/>
      <c r="BX62" s="99"/>
      <c r="BY62" s="99"/>
      <c r="BZ62" s="99"/>
      <c r="CA62" s="99"/>
      <c r="CB62" s="99"/>
      <c r="CC62" s="90"/>
      <c r="CD62" s="90"/>
      <c r="CE62" s="90"/>
      <c r="CF62" s="90"/>
    </row>
    <row r="63" spans="1:84">
      <c r="A63" s="97"/>
      <c r="B63" s="97"/>
      <c r="C63" s="97"/>
      <c r="D63" s="97"/>
      <c r="E63" s="104"/>
      <c r="F63" s="104"/>
      <c r="G63" s="97"/>
      <c r="H63" s="96"/>
      <c r="I63" s="96"/>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549"/>
      <c r="AI63" s="549"/>
      <c r="AJ63" s="549"/>
      <c r="AK63" s="549"/>
      <c r="AL63" s="549"/>
      <c r="AM63" s="549"/>
      <c r="AN63" s="549"/>
      <c r="AO63" s="549"/>
      <c r="AP63" s="549"/>
      <c r="AQ63" s="549"/>
      <c r="AR63" s="549"/>
      <c r="AS63" s="549"/>
      <c r="AT63" s="549"/>
      <c r="AU63" s="549"/>
      <c r="AV63" s="549"/>
      <c r="AW63" s="549"/>
      <c r="AX63" s="549"/>
      <c r="AY63" s="549"/>
      <c r="AZ63" s="549"/>
      <c r="BA63" s="549"/>
      <c r="BB63" s="549"/>
      <c r="BC63" s="549"/>
      <c r="BD63" s="549"/>
      <c r="BE63" s="549"/>
      <c r="BF63" s="549"/>
      <c r="BG63" s="549"/>
      <c r="BH63" s="549"/>
      <c r="BI63" s="549"/>
      <c r="BJ63" s="549"/>
      <c r="BK63" s="549"/>
      <c r="BL63" s="549"/>
      <c r="BM63" s="549"/>
      <c r="BN63" s="549"/>
      <c r="BO63" s="549"/>
      <c r="BP63" s="549"/>
      <c r="BQ63" s="549"/>
      <c r="BR63" s="99"/>
      <c r="BS63" s="99"/>
      <c r="BT63" s="99"/>
      <c r="BU63" s="99"/>
      <c r="BV63" s="99"/>
      <c r="BW63" s="99"/>
      <c r="BX63" s="99"/>
      <c r="BY63" s="99"/>
      <c r="BZ63" s="99"/>
      <c r="CA63" s="99"/>
      <c r="CB63" s="99"/>
      <c r="CC63" s="90"/>
      <c r="CD63" s="90"/>
      <c r="CE63" s="90"/>
      <c r="CF63" s="90"/>
    </row>
    <row r="64" spans="1:84">
      <c r="A64" s="97"/>
      <c r="B64" s="97"/>
      <c r="C64" s="97"/>
      <c r="D64" s="97"/>
      <c r="E64" s="104"/>
      <c r="F64" s="104"/>
      <c r="G64" s="97"/>
      <c r="H64" s="96"/>
      <c r="I64" s="96"/>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549"/>
      <c r="AI64" s="549"/>
      <c r="AJ64" s="549"/>
      <c r="AK64" s="549"/>
      <c r="AL64" s="549"/>
      <c r="AM64" s="549"/>
      <c r="AN64" s="549"/>
      <c r="AO64" s="549"/>
      <c r="AP64" s="549"/>
      <c r="AQ64" s="549"/>
      <c r="AR64" s="549"/>
      <c r="AS64" s="549"/>
      <c r="AT64" s="549"/>
      <c r="AU64" s="549"/>
      <c r="AV64" s="549"/>
      <c r="AW64" s="549"/>
      <c r="AX64" s="549"/>
      <c r="AY64" s="549"/>
      <c r="AZ64" s="549"/>
      <c r="BA64" s="549"/>
      <c r="BB64" s="549"/>
      <c r="BC64" s="549"/>
      <c r="BD64" s="549"/>
      <c r="BE64" s="549"/>
      <c r="BF64" s="549"/>
      <c r="BG64" s="549"/>
      <c r="BH64" s="549"/>
      <c r="BI64" s="549"/>
      <c r="BJ64" s="549"/>
      <c r="BK64" s="549"/>
      <c r="BL64" s="549"/>
      <c r="BM64" s="549"/>
      <c r="BN64" s="549"/>
      <c r="BO64" s="549"/>
      <c r="BP64" s="549"/>
      <c r="BQ64" s="549"/>
      <c r="BR64" s="99"/>
      <c r="BS64" s="99"/>
      <c r="BT64" s="99"/>
      <c r="BU64" s="99"/>
      <c r="BV64" s="99"/>
      <c r="BW64" s="99"/>
      <c r="BX64" s="99"/>
      <c r="BY64" s="99"/>
      <c r="BZ64" s="99"/>
      <c r="CA64" s="99"/>
      <c r="CB64" s="99"/>
      <c r="CC64" s="90"/>
      <c r="CD64" s="90"/>
      <c r="CE64" s="90"/>
      <c r="CF64" s="90"/>
    </row>
    <row r="65" spans="1:84">
      <c r="A65" s="97"/>
      <c r="B65" s="97"/>
      <c r="C65" s="97"/>
      <c r="D65" s="97"/>
      <c r="E65" s="104"/>
      <c r="F65" s="104"/>
      <c r="G65" s="97"/>
      <c r="H65" s="96"/>
      <c r="I65" s="96"/>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49"/>
      <c r="BK65" s="549"/>
      <c r="BL65" s="549"/>
      <c r="BM65" s="549"/>
      <c r="BN65" s="549"/>
      <c r="BO65" s="549"/>
      <c r="BP65" s="549"/>
      <c r="BQ65" s="549"/>
      <c r="BR65" s="99"/>
      <c r="BS65" s="99"/>
      <c r="BT65" s="99"/>
      <c r="BU65" s="99"/>
      <c r="BV65" s="99"/>
      <c r="BW65" s="99"/>
      <c r="BX65" s="99"/>
      <c r="BY65" s="99"/>
      <c r="BZ65" s="99"/>
      <c r="CA65" s="99"/>
      <c r="CB65" s="99"/>
      <c r="CC65" s="90"/>
      <c r="CD65" s="90"/>
      <c r="CE65" s="90"/>
      <c r="CF65" s="90"/>
    </row>
    <row r="66" spans="1:84">
      <c r="A66" s="97"/>
      <c r="B66" s="97"/>
      <c r="C66" s="97"/>
      <c r="D66" s="97"/>
      <c r="E66" s="104"/>
      <c r="F66" s="104"/>
      <c r="G66" s="97"/>
      <c r="H66" s="96"/>
      <c r="I66" s="96"/>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549"/>
      <c r="AI66" s="549"/>
      <c r="AJ66" s="549"/>
      <c r="AK66" s="549"/>
      <c r="AL66" s="549"/>
      <c r="AM66" s="549"/>
      <c r="AN66" s="549"/>
      <c r="AO66" s="549"/>
      <c r="AP66" s="549"/>
      <c r="AQ66" s="549"/>
      <c r="AR66" s="549"/>
      <c r="AS66" s="549"/>
      <c r="AT66" s="549"/>
      <c r="AU66" s="549"/>
      <c r="AV66" s="549"/>
      <c r="AW66" s="549"/>
      <c r="AX66" s="549"/>
      <c r="AY66" s="549"/>
      <c r="AZ66" s="549"/>
      <c r="BA66" s="549"/>
      <c r="BB66" s="549"/>
      <c r="BC66" s="549"/>
      <c r="BD66" s="549"/>
      <c r="BE66" s="549"/>
      <c r="BF66" s="549"/>
      <c r="BG66" s="549"/>
      <c r="BH66" s="549"/>
      <c r="BI66" s="549"/>
      <c r="BJ66" s="549"/>
      <c r="BK66" s="549"/>
      <c r="BL66" s="549"/>
      <c r="BM66" s="549"/>
      <c r="BN66" s="549"/>
      <c r="BO66" s="549"/>
      <c r="BP66" s="549"/>
      <c r="BQ66" s="549"/>
      <c r="BR66" s="99"/>
      <c r="BS66" s="99"/>
      <c r="BT66" s="99"/>
      <c r="BU66" s="99"/>
      <c r="BV66" s="99"/>
      <c r="BW66" s="99"/>
      <c r="BX66" s="99"/>
      <c r="BY66" s="99"/>
      <c r="BZ66" s="99"/>
      <c r="CA66" s="99"/>
      <c r="CB66" s="99"/>
      <c r="CC66" s="90"/>
      <c r="CD66" s="90"/>
      <c r="CE66" s="90"/>
      <c r="CF66" s="90"/>
    </row>
    <row r="67" spans="1:84">
      <c r="A67" s="97"/>
      <c r="B67" s="97"/>
      <c r="C67" s="97"/>
      <c r="D67" s="97"/>
      <c r="E67" s="104"/>
      <c r="F67" s="104"/>
      <c r="G67" s="97"/>
      <c r="H67" s="96"/>
      <c r="I67" s="96"/>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549"/>
      <c r="AI67" s="549"/>
      <c r="AJ67" s="549"/>
      <c r="AK67" s="549"/>
      <c r="AL67" s="549"/>
      <c r="AM67" s="549"/>
      <c r="AN67" s="549"/>
      <c r="AO67" s="549"/>
      <c r="AP67" s="549"/>
      <c r="AQ67" s="549"/>
      <c r="AR67" s="549"/>
      <c r="AS67" s="549"/>
      <c r="AT67" s="549"/>
      <c r="AU67" s="549"/>
      <c r="AV67" s="549"/>
      <c r="AW67" s="549"/>
      <c r="AX67" s="549"/>
      <c r="AY67" s="549"/>
      <c r="AZ67" s="549"/>
      <c r="BA67" s="549"/>
      <c r="BB67" s="549"/>
      <c r="BC67" s="549"/>
      <c r="BD67" s="549"/>
      <c r="BE67" s="549"/>
      <c r="BF67" s="549"/>
      <c r="BG67" s="549"/>
      <c r="BH67" s="549"/>
      <c r="BI67" s="549"/>
      <c r="BJ67" s="549"/>
      <c r="BK67" s="549"/>
      <c r="BL67" s="549"/>
      <c r="BM67" s="549"/>
      <c r="BN67" s="549"/>
      <c r="BO67" s="549"/>
      <c r="BP67" s="549"/>
      <c r="BQ67" s="549"/>
      <c r="BR67" s="99"/>
      <c r="BS67" s="99"/>
      <c r="BT67" s="99"/>
      <c r="BU67" s="99"/>
      <c r="BV67" s="99"/>
      <c r="BW67" s="99"/>
      <c r="BX67" s="99"/>
      <c r="BY67" s="99"/>
      <c r="BZ67" s="99"/>
      <c r="CA67" s="99"/>
      <c r="CB67" s="99"/>
      <c r="CC67" s="90"/>
      <c r="CD67" s="90"/>
      <c r="CE67" s="90"/>
      <c r="CF67" s="90"/>
    </row>
    <row r="68" spans="1:84">
      <c r="A68" s="97"/>
      <c r="B68" s="97"/>
      <c r="C68" s="97"/>
      <c r="D68" s="97"/>
      <c r="E68" s="104"/>
      <c r="F68" s="104"/>
      <c r="G68" s="97"/>
      <c r="H68" s="96"/>
      <c r="I68" s="96"/>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549"/>
      <c r="AI68" s="549"/>
      <c r="AJ68" s="549"/>
      <c r="AK68" s="549"/>
      <c r="AL68" s="549"/>
      <c r="AM68" s="549"/>
      <c r="AN68" s="549"/>
      <c r="AO68" s="549"/>
      <c r="AP68" s="549"/>
      <c r="AQ68" s="549"/>
      <c r="AR68" s="549"/>
      <c r="AS68" s="549"/>
      <c r="AT68" s="549"/>
      <c r="AU68" s="549"/>
      <c r="AV68" s="549"/>
      <c r="AW68" s="549"/>
      <c r="AX68" s="549"/>
      <c r="AY68" s="549"/>
      <c r="AZ68" s="549"/>
      <c r="BA68" s="549"/>
      <c r="BB68" s="549"/>
      <c r="BC68" s="549"/>
      <c r="BD68" s="549"/>
      <c r="BE68" s="549"/>
      <c r="BF68" s="549"/>
      <c r="BG68" s="549"/>
      <c r="BH68" s="549"/>
      <c r="BI68" s="549"/>
      <c r="BJ68" s="549"/>
      <c r="BK68" s="549"/>
      <c r="BL68" s="549"/>
      <c r="BM68" s="549"/>
      <c r="BN68" s="549"/>
      <c r="BO68" s="549"/>
      <c r="BP68" s="549"/>
      <c r="BQ68" s="549"/>
      <c r="BR68" s="99"/>
      <c r="BS68" s="99"/>
      <c r="BT68" s="99"/>
      <c r="BU68" s="99"/>
      <c r="BV68" s="99"/>
      <c r="BW68" s="99"/>
      <c r="BX68" s="99"/>
      <c r="BY68" s="99"/>
      <c r="BZ68" s="99"/>
      <c r="CA68" s="99"/>
      <c r="CB68" s="99"/>
      <c r="CC68" s="90"/>
      <c r="CD68" s="90"/>
      <c r="CE68" s="90"/>
      <c r="CF68" s="90"/>
    </row>
    <row r="69" spans="1:84">
      <c r="A69" s="97"/>
      <c r="B69" s="97"/>
      <c r="C69" s="97"/>
      <c r="D69" s="97"/>
      <c r="E69" s="104"/>
      <c r="F69" s="104"/>
      <c r="G69" s="97"/>
      <c r="H69" s="96"/>
      <c r="I69" s="96"/>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549"/>
      <c r="AI69" s="549"/>
      <c r="AJ69" s="549"/>
      <c r="AK69" s="549"/>
      <c r="AL69" s="549"/>
      <c r="AM69" s="549"/>
      <c r="AN69" s="549"/>
      <c r="AO69" s="549"/>
      <c r="AP69" s="549"/>
      <c r="AQ69" s="549"/>
      <c r="AR69" s="549"/>
      <c r="AS69" s="549"/>
      <c r="AT69" s="549"/>
      <c r="AU69" s="549"/>
      <c r="AV69" s="549"/>
      <c r="AW69" s="549"/>
      <c r="AX69" s="549"/>
      <c r="AY69" s="549"/>
      <c r="AZ69" s="549"/>
      <c r="BA69" s="549"/>
      <c r="BB69" s="549"/>
      <c r="BC69" s="549"/>
      <c r="BD69" s="549"/>
      <c r="BE69" s="549"/>
      <c r="BF69" s="549"/>
      <c r="BG69" s="549"/>
      <c r="BH69" s="549"/>
      <c r="BI69" s="549"/>
      <c r="BJ69" s="549"/>
      <c r="BK69" s="549"/>
      <c r="BL69" s="549"/>
      <c r="BM69" s="549"/>
      <c r="BN69" s="549"/>
      <c r="BO69" s="549"/>
      <c r="BP69" s="549"/>
      <c r="BQ69" s="549"/>
      <c r="BR69" s="99"/>
      <c r="BS69" s="99"/>
      <c r="BT69" s="99"/>
      <c r="BU69" s="99"/>
      <c r="BV69" s="99"/>
      <c r="BW69" s="99"/>
      <c r="BX69" s="99"/>
      <c r="BY69" s="99"/>
      <c r="BZ69" s="99"/>
      <c r="CA69" s="99"/>
      <c r="CB69" s="99"/>
      <c r="CC69" s="90"/>
      <c r="CD69" s="90"/>
      <c r="CE69" s="90"/>
      <c r="CF69" s="90"/>
    </row>
    <row r="70" spans="1:84">
      <c r="A70" s="97"/>
      <c r="B70" s="97"/>
      <c r="C70" s="97"/>
      <c r="D70" s="97"/>
      <c r="E70" s="104"/>
      <c r="F70" s="104"/>
      <c r="G70" s="97"/>
      <c r="H70" s="96"/>
      <c r="I70" s="96"/>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549"/>
      <c r="AI70" s="549"/>
      <c r="AJ70" s="549"/>
      <c r="AK70" s="549"/>
      <c r="AL70" s="549"/>
      <c r="AM70" s="549"/>
      <c r="AN70" s="549"/>
      <c r="AO70" s="549"/>
      <c r="AP70" s="549"/>
      <c r="AQ70" s="549"/>
      <c r="AR70" s="549"/>
      <c r="AS70" s="549"/>
      <c r="AT70" s="549"/>
      <c r="AU70" s="549"/>
      <c r="AV70" s="549"/>
      <c r="AW70" s="549"/>
      <c r="AX70" s="549"/>
      <c r="AY70" s="549"/>
      <c r="AZ70" s="549"/>
      <c r="BA70" s="549"/>
      <c r="BB70" s="549"/>
      <c r="BC70" s="549"/>
      <c r="BD70" s="549"/>
      <c r="BE70" s="549"/>
      <c r="BF70" s="549"/>
      <c r="BG70" s="549"/>
      <c r="BH70" s="549"/>
      <c r="BI70" s="549"/>
      <c r="BJ70" s="549"/>
      <c r="BK70" s="549"/>
      <c r="BL70" s="549"/>
      <c r="BM70" s="549"/>
      <c r="BN70" s="549"/>
      <c r="BO70" s="549"/>
      <c r="BP70" s="549"/>
      <c r="BQ70" s="549"/>
      <c r="BR70" s="99"/>
      <c r="BS70" s="99"/>
      <c r="BT70" s="99"/>
      <c r="BU70" s="99"/>
      <c r="BV70" s="99"/>
      <c r="BW70" s="99"/>
      <c r="BX70" s="99"/>
      <c r="BY70" s="99"/>
      <c r="BZ70" s="99"/>
      <c r="CA70" s="99"/>
      <c r="CB70" s="99"/>
      <c r="CC70" s="90"/>
      <c r="CD70" s="90"/>
      <c r="CE70" s="90"/>
      <c r="CF70" s="90"/>
    </row>
    <row r="71" spans="1:84">
      <c r="A71" s="97"/>
      <c r="B71" s="97"/>
      <c r="C71" s="97"/>
      <c r="D71" s="97"/>
      <c r="E71" s="104"/>
      <c r="F71" s="104"/>
      <c r="G71" s="97"/>
      <c r="H71" s="96"/>
      <c r="I71" s="96"/>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549"/>
      <c r="AI71" s="549"/>
      <c r="AJ71" s="549"/>
      <c r="AK71" s="549"/>
      <c r="AL71" s="549"/>
      <c r="AM71" s="549"/>
      <c r="AN71" s="549"/>
      <c r="AO71" s="549"/>
      <c r="AP71" s="549"/>
      <c r="AQ71" s="549"/>
      <c r="AR71" s="549"/>
      <c r="AS71" s="549"/>
      <c r="AT71" s="549"/>
      <c r="AU71" s="549"/>
      <c r="AV71" s="549"/>
      <c r="AW71" s="549"/>
      <c r="AX71" s="549"/>
      <c r="AY71" s="549"/>
      <c r="AZ71" s="549"/>
      <c r="BA71" s="549"/>
      <c r="BB71" s="549"/>
      <c r="BC71" s="549"/>
      <c r="BD71" s="549"/>
      <c r="BE71" s="549"/>
      <c r="BF71" s="549"/>
      <c r="BG71" s="549"/>
      <c r="BH71" s="549"/>
      <c r="BI71" s="549"/>
      <c r="BJ71" s="549"/>
      <c r="BK71" s="549"/>
      <c r="BL71" s="549"/>
      <c r="BM71" s="549"/>
      <c r="BN71" s="549"/>
      <c r="BO71" s="549"/>
      <c r="BP71" s="549"/>
      <c r="BQ71" s="549"/>
      <c r="BR71" s="99"/>
      <c r="BS71" s="99"/>
      <c r="BT71" s="99"/>
      <c r="BU71" s="99"/>
      <c r="BV71" s="99"/>
      <c r="BW71" s="99"/>
      <c r="BX71" s="99"/>
      <c r="BY71" s="99"/>
      <c r="BZ71" s="99"/>
      <c r="CA71" s="99"/>
      <c r="CB71" s="99"/>
      <c r="CC71" s="90"/>
      <c r="CD71" s="90"/>
      <c r="CE71" s="90"/>
      <c r="CF71" s="90"/>
    </row>
    <row r="72" spans="1:84">
      <c r="A72" s="97"/>
      <c r="B72" s="97"/>
      <c r="C72" s="97"/>
      <c r="D72" s="97"/>
      <c r="E72" s="104"/>
      <c r="F72" s="104"/>
      <c r="G72" s="97"/>
      <c r="H72" s="96"/>
      <c r="I72" s="96"/>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549"/>
      <c r="AI72" s="549"/>
      <c r="AJ72" s="549"/>
      <c r="AK72" s="549"/>
      <c r="AL72" s="549"/>
      <c r="AM72" s="549"/>
      <c r="AN72" s="549"/>
      <c r="AO72" s="549"/>
      <c r="AP72" s="549"/>
      <c r="AQ72" s="549"/>
      <c r="AR72" s="549"/>
      <c r="AS72" s="549"/>
      <c r="AT72" s="549"/>
      <c r="AU72" s="549"/>
      <c r="AV72" s="549"/>
      <c r="AW72" s="549"/>
      <c r="AX72" s="549"/>
      <c r="AY72" s="549"/>
      <c r="AZ72" s="549"/>
      <c r="BA72" s="549"/>
      <c r="BB72" s="549"/>
      <c r="BC72" s="549"/>
      <c r="BD72" s="549"/>
      <c r="BE72" s="549"/>
      <c r="BF72" s="549"/>
      <c r="BG72" s="549"/>
      <c r="BH72" s="549"/>
      <c r="BI72" s="549"/>
      <c r="BJ72" s="549"/>
      <c r="BK72" s="549"/>
      <c r="BL72" s="549"/>
      <c r="BM72" s="549"/>
      <c r="BN72" s="549"/>
      <c r="BO72" s="549"/>
      <c r="BP72" s="549"/>
      <c r="BQ72" s="549"/>
      <c r="BR72" s="99"/>
      <c r="BS72" s="99"/>
      <c r="BT72" s="99"/>
      <c r="BU72" s="99"/>
      <c r="BV72" s="99"/>
      <c r="BW72" s="99"/>
      <c r="BX72" s="99"/>
      <c r="BY72" s="99"/>
      <c r="BZ72" s="99"/>
      <c r="CA72" s="99"/>
      <c r="CB72" s="99"/>
      <c r="CC72" s="90"/>
      <c r="CD72" s="90"/>
      <c r="CE72" s="90"/>
      <c r="CF72" s="90"/>
    </row>
    <row r="73" spans="1:84">
      <c r="A73" s="97"/>
      <c r="B73" s="97"/>
      <c r="C73" s="97"/>
      <c r="D73" s="97"/>
      <c r="E73" s="104"/>
      <c r="F73" s="104"/>
      <c r="G73" s="97"/>
      <c r="H73" s="96"/>
      <c r="I73" s="96"/>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549"/>
      <c r="AI73" s="549"/>
      <c r="AJ73" s="549"/>
      <c r="AK73" s="549"/>
      <c r="AL73" s="549"/>
      <c r="AM73" s="549"/>
      <c r="AN73" s="549"/>
      <c r="AO73" s="549"/>
      <c r="AP73" s="549"/>
      <c r="AQ73" s="549"/>
      <c r="AR73" s="549"/>
      <c r="AS73" s="549"/>
      <c r="AT73" s="549"/>
      <c r="AU73" s="549"/>
      <c r="AV73" s="549"/>
      <c r="AW73" s="549"/>
      <c r="AX73" s="549"/>
      <c r="AY73" s="549"/>
      <c r="AZ73" s="549"/>
      <c r="BA73" s="549"/>
      <c r="BB73" s="549"/>
      <c r="BC73" s="549"/>
      <c r="BD73" s="549"/>
      <c r="BE73" s="549"/>
      <c r="BF73" s="549"/>
      <c r="BG73" s="549"/>
      <c r="BH73" s="549"/>
      <c r="BI73" s="549"/>
      <c r="BJ73" s="549"/>
      <c r="BK73" s="549"/>
      <c r="BL73" s="549"/>
      <c r="BM73" s="549"/>
      <c r="BN73" s="549"/>
      <c r="BO73" s="549"/>
      <c r="BP73" s="549"/>
      <c r="BQ73" s="549"/>
      <c r="BR73" s="99"/>
      <c r="BS73" s="99"/>
      <c r="BT73" s="99"/>
      <c r="BU73" s="99"/>
      <c r="BV73" s="99"/>
      <c r="BW73" s="99"/>
      <c r="BX73" s="99"/>
      <c r="BY73" s="99"/>
      <c r="BZ73" s="99"/>
      <c r="CA73" s="99"/>
      <c r="CB73" s="99"/>
      <c r="CC73" s="90"/>
      <c r="CD73" s="90"/>
      <c r="CE73" s="90"/>
      <c r="CF73" s="90"/>
    </row>
    <row r="74" spans="1:84">
      <c r="A74" s="97"/>
      <c r="B74" s="97"/>
      <c r="C74" s="97"/>
      <c r="D74" s="97"/>
      <c r="E74" s="104"/>
      <c r="F74" s="104"/>
      <c r="G74" s="97"/>
      <c r="H74" s="96"/>
      <c r="I74" s="96"/>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49"/>
      <c r="BD74" s="549"/>
      <c r="BE74" s="549"/>
      <c r="BF74" s="549"/>
      <c r="BG74" s="549"/>
      <c r="BH74" s="549"/>
      <c r="BI74" s="549"/>
      <c r="BJ74" s="549"/>
      <c r="BK74" s="549"/>
      <c r="BL74" s="549"/>
      <c r="BM74" s="549"/>
      <c r="BN74" s="549"/>
      <c r="BO74" s="549"/>
      <c r="BP74" s="549"/>
      <c r="BQ74" s="549"/>
      <c r="BR74" s="99"/>
      <c r="BS74" s="99"/>
      <c r="BT74" s="99"/>
      <c r="BU74" s="99"/>
      <c r="BV74" s="99"/>
      <c r="BW74" s="99"/>
      <c r="BX74" s="99"/>
      <c r="BY74" s="99"/>
      <c r="BZ74" s="99"/>
      <c r="CA74" s="99"/>
      <c r="CB74" s="99"/>
      <c r="CC74" s="90"/>
      <c r="CD74" s="90"/>
      <c r="CE74" s="90"/>
      <c r="CF74" s="90"/>
    </row>
    <row r="75" spans="1:84">
      <c r="A75" s="97"/>
      <c r="B75" s="97"/>
      <c r="C75" s="97"/>
      <c r="D75" s="97"/>
      <c r="E75" s="104"/>
      <c r="F75" s="104"/>
      <c r="G75" s="97"/>
      <c r="H75" s="96"/>
      <c r="I75" s="96"/>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549"/>
      <c r="AI75" s="549"/>
      <c r="AJ75" s="549"/>
      <c r="AK75" s="549"/>
      <c r="AL75" s="549"/>
      <c r="AM75" s="549"/>
      <c r="AN75" s="549"/>
      <c r="AO75" s="549"/>
      <c r="AP75" s="549"/>
      <c r="AQ75" s="549"/>
      <c r="AR75" s="549"/>
      <c r="AS75" s="549"/>
      <c r="AT75" s="549"/>
      <c r="AU75" s="549"/>
      <c r="AV75" s="549"/>
      <c r="AW75" s="549"/>
      <c r="AX75" s="549"/>
      <c r="AY75" s="549"/>
      <c r="AZ75" s="549"/>
      <c r="BA75" s="549"/>
      <c r="BB75" s="549"/>
      <c r="BC75" s="549"/>
      <c r="BD75" s="549"/>
      <c r="BE75" s="549"/>
      <c r="BF75" s="549"/>
      <c r="BG75" s="549"/>
      <c r="BH75" s="549"/>
      <c r="BI75" s="549"/>
      <c r="BJ75" s="549"/>
      <c r="BK75" s="549"/>
      <c r="BL75" s="549"/>
      <c r="BM75" s="549"/>
      <c r="BN75" s="549"/>
      <c r="BO75" s="549"/>
      <c r="BP75" s="549"/>
      <c r="BQ75" s="549"/>
      <c r="BR75" s="99"/>
      <c r="BS75" s="99"/>
      <c r="BT75" s="99"/>
      <c r="BU75" s="99"/>
      <c r="BV75" s="99"/>
      <c r="BW75" s="99"/>
      <c r="BX75" s="99"/>
      <c r="BY75" s="99"/>
      <c r="BZ75" s="99"/>
      <c r="CA75" s="99"/>
      <c r="CB75" s="99"/>
      <c r="CC75" s="90"/>
      <c r="CD75" s="90"/>
      <c r="CE75" s="90"/>
      <c r="CF75" s="90"/>
    </row>
    <row r="76" spans="1:84">
      <c r="A76" s="97"/>
      <c r="B76" s="97"/>
      <c r="C76" s="97"/>
      <c r="D76" s="97"/>
      <c r="E76" s="104"/>
      <c r="F76" s="104"/>
      <c r="G76" s="97"/>
      <c r="H76" s="96"/>
      <c r="I76" s="96"/>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549"/>
      <c r="AI76" s="549"/>
      <c r="AJ76" s="549"/>
      <c r="AK76" s="549"/>
      <c r="AL76" s="549"/>
      <c r="AM76" s="549"/>
      <c r="AN76" s="549"/>
      <c r="AO76" s="549"/>
      <c r="AP76" s="549"/>
      <c r="AQ76" s="549"/>
      <c r="AR76" s="549"/>
      <c r="AS76" s="549"/>
      <c r="AT76" s="549"/>
      <c r="AU76" s="549"/>
      <c r="AV76" s="549"/>
      <c r="AW76" s="549"/>
      <c r="AX76" s="549"/>
      <c r="AY76" s="549"/>
      <c r="AZ76" s="549"/>
      <c r="BA76" s="549"/>
      <c r="BB76" s="549"/>
      <c r="BC76" s="549"/>
      <c r="BD76" s="549"/>
      <c r="BE76" s="549"/>
      <c r="BF76" s="549"/>
      <c r="BG76" s="549"/>
      <c r="BH76" s="549"/>
      <c r="BI76" s="549"/>
      <c r="BJ76" s="549"/>
      <c r="BK76" s="549"/>
      <c r="BL76" s="549"/>
      <c r="BM76" s="549"/>
      <c r="BN76" s="549"/>
      <c r="BO76" s="549"/>
      <c r="BP76" s="549"/>
      <c r="BQ76" s="549"/>
      <c r="BR76" s="99"/>
      <c r="BS76" s="99"/>
      <c r="BT76" s="99"/>
      <c r="BU76" s="99"/>
      <c r="BV76" s="99"/>
      <c r="BW76" s="99"/>
      <c r="BX76" s="99"/>
      <c r="BY76" s="99"/>
      <c r="BZ76" s="99"/>
      <c r="CA76" s="99"/>
      <c r="CB76" s="99"/>
      <c r="CC76" s="90"/>
      <c r="CD76" s="90"/>
      <c r="CE76" s="90"/>
      <c r="CF76" s="90"/>
    </row>
    <row r="77" spans="1:84">
      <c r="A77" s="97"/>
      <c r="B77" s="97"/>
      <c r="C77" s="97"/>
      <c r="D77" s="97"/>
      <c r="E77" s="104"/>
      <c r="F77" s="104"/>
      <c r="G77" s="97"/>
      <c r="H77" s="96"/>
      <c r="I77" s="96"/>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549"/>
      <c r="AI77" s="549"/>
      <c r="AJ77" s="549"/>
      <c r="AK77" s="549"/>
      <c r="AL77" s="549"/>
      <c r="AM77" s="549"/>
      <c r="AN77" s="549"/>
      <c r="AO77" s="549"/>
      <c r="AP77" s="549"/>
      <c r="AQ77" s="549"/>
      <c r="AR77" s="549"/>
      <c r="AS77" s="549"/>
      <c r="AT77" s="549"/>
      <c r="AU77" s="549"/>
      <c r="AV77" s="549"/>
      <c r="AW77" s="549"/>
      <c r="AX77" s="549"/>
      <c r="AY77" s="549"/>
      <c r="AZ77" s="549"/>
      <c r="BA77" s="549"/>
      <c r="BB77" s="549"/>
      <c r="BC77" s="549"/>
      <c r="BD77" s="549"/>
      <c r="BE77" s="549"/>
      <c r="BF77" s="549"/>
      <c r="BG77" s="549"/>
      <c r="BH77" s="549"/>
      <c r="BI77" s="549"/>
      <c r="BJ77" s="549"/>
      <c r="BK77" s="549"/>
      <c r="BL77" s="549"/>
      <c r="BM77" s="549"/>
      <c r="BN77" s="549"/>
      <c r="BO77" s="549"/>
      <c r="BP77" s="549"/>
      <c r="BQ77" s="549"/>
      <c r="BR77" s="99"/>
      <c r="BS77" s="99"/>
      <c r="BT77" s="99"/>
      <c r="BU77" s="99"/>
      <c r="BV77" s="99"/>
      <c r="BW77" s="99"/>
      <c r="BX77" s="99"/>
      <c r="BY77" s="99"/>
      <c r="BZ77" s="99"/>
      <c r="CA77" s="99"/>
      <c r="CB77" s="99"/>
      <c r="CC77" s="90"/>
      <c r="CD77" s="90"/>
      <c r="CE77" s="90"/>
      <c r="CF77" s="90"/>
    </row>
    <row r="78" spans="1:84">
      <c r="A78" s="97"/>
      <c r="B78" s="97"/>
      <c r="C78" s="97"/>
      <c r="D78" s="97"/>
      <c r="E78" s="104"/>
      <c r="F78" s="104"/>
      <c r="G78" s="97"/>
      <c r="H78" s="96"/>
      <c r="I78" s="96"/>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549"/>
      <c r="AI78" s="549"/>
      <c r="AJ78" s="549"/>
      <c r="AK78" s="549"/>
      <c r="AL78" s="549"/>
      <c r="AM78" s="549"/>
      <c r="AN78" s="549"/>
      <c r="AO78" s="549"/>
      <c r="AP78" s="549"/>
      <c r="AQ78" s="549"/>
      <c r="AR78" s="549"/>
      <c r="AS78" s="549"/>
      <c r="AT78" s="549"/>
      <c r="AU78" s="549"/>
      <c r="AV78" s="549"/>
      <c r="AW78" s="549"/>
      <c r="AX78" s="549"/>
      <c r="AY78" s="549"/>
      <c r="AZ78" s="549"/>
      <c r="BA78" s="549"/>
      <c r="BB78" s="549"/>
      <c r="BC78" s="549"/>
      <c r="BD78" s="549"/>
      <c r="BE78" s="549"/>
      <c r="BF78" s="549"/>
      <c r="BG78" s="549"/>
      <c r="BH78" s="549"/>
      <c r="BI78" s="549"/>
      <c r="BJ78" s="549"/>
      <c r="BK78" s="549"/>
      <c r="BL78" s="549"/>
      <c r="BM78" s="549"/>
      <c r="BN78" s="549"/>
      <c r="BO78" s="549"/>
      <c r="BP78" s="549"/>
      <c r="BQ78" s="549"/>
      <c r="BR78" s="99"/>
      <c r="BS78" s="99"/>
      <c r="BT78" s="99"/>
      <c r="BU78" s="99"/>
      <c r="BV78" s="99"/>
      <c r="BW78" s="99"/>
      <c r="BX78" s="99"/>
      <c r="BY78" s="99"/>
      <c r="BZ78" s="99"/>
      <c r="CA78" s="99"/>
      <c r="CB78" s="99"/>
      <c r="CC78" s="90"/>
      <c r="CD78" s="90"/>
      <c r="CE78" s="90"/>
      <c r="CF78" s="90"/>
    </row>
    <row r="79" spans="1:84">
      <c r="A79" s="97"/>
      <c r="B79" s="97"/>
      <c r="C79" s="97"/>
      <c r="D79" s="97"/>
      <c r="E79" s="104"/>
      <c r="F79" s="104"/>
      <c r="G79" s="97"/>
      <c r="H79" s="96"/>
      <c r="I79" s="96"/>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549"/>
      <c r="AI79" s="549"/>
      <c r="AJ79" s="549"/>
      <c r="AK79" s="549"/>
      <c r="AL79" s="549"/>
      <c r="AM79" s="549"/>
      <c r="AN79" s="549"/>
      <c r="AO79" s="549"/>
      <c r="AP79" s="549"/>
      <c r="AQ79" s="549"/>
      <c r="AR79" s="549"/>
      <c r="AS79" s="549"/>
      <c r="AT79" s="549"/>
      <c r="AU79" s="549"/>
      <c r="AV79" s="549"/>
      <c r="AW79" s="549"/>
      <c r="AX79" s="549"/>
      <c r="AY79" s="549"/>
      <c r="AZ79" s="549"/>
      <c r="BA79" s="549"/>
      <c r="BB79" s="549"/>
      <c r="BC79" s="549"/>
      <c r="BD79" s="549"/>
      <c r="BE79" s="549"/>
      <c r="BF79" s="549"/>
      <c r="BG79" s="549"/>
      <c r="BH79" s="549"/>
      <c r="BI79" s="549"/>
      <c r="BJ79" s="549"/>
      <c r="BK79" s="549"/>
      <c r="BL79" s="549"/>
      <c r="BM79" s="549"/>
      <c r="BN79" s="549"/>
      <c r="BO79" s="549"/>
      <c r="BP79" s="549"/>
      <c r="BQ79" s="549"/>
      <c r="BR79" s="99"/>
      <c r="BS79" s="99"/>
      <c r="BT79" s="99"/>
      <c r="BU79" s="99"/>
      <c r="BV79" s="99"/>
      <c r="BW79" s="99"/>
      <c r="BX79" s="99"/>
      <c r="BY79" s="99"/>
      <c r="BZ79" s="99"/>
      <c r="CA79" s="99"/>
      <c r="CB79" s="99"/>
      <c r="CC79" s="90"/>
      <c r="CD79" s="90"/>
      <c r="CE79" s="90"/>
      <c r="CF79" s="90"/>
    </row>
    <row r="80" spans="1:84">
      <c r="A80" s="97"/>
      <c r="B80" s="97"/>
      <c r="C80" s="97"/>
      <c r="D80" s="97"/>
      <c r="E80" s="104"/>
      <c r="F80" s="104"/>
      <c r="G80" s="97"/>
      <c r="H80" s="96"/>
      <c r="I80" s="96"/>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549"/>
      <c r="AI80" s="549"/>
      <c r="AJ80" s="549"/>
      <c r="AK80" s="549"/>
      <c r="AL80" s="549"/>
      <c r="AM80" s="549"/>
      <c r="AN80" s="549"/>
      <c r="AO80" s="549"/>
      <c r="AP80" s="549"/>
      <c r="AQ80" s="549"/>
      <c r="AR80" s="549"/>
      <c r="AS80" s="549"/>
      <c r="AT80" s="549"/>
      <c r="AU80" s="549"/>
      <c r="AV80" s="549"/>
      <c r="AW80" s="549"/>
      <c r="AX80" s="549"/>
      <c r="AY80" s="549"/>
      <c r="AZ80" s="549"/>
      <c r="BA80" s="549"/>
      <c r="BB80" s="549"/>
      <c r="BC80" s="549"/>
      <c r="BD80" s="549"/>
      <c r="BE80" s="549"/>
      <c r="BF80" s="549"/>
      <c r="BG80" s="549"/>
      <c r="BH80" s="549"/>
      <c r="BI80" s="549"/>
      <c r="BJ80" s="549"/>
      <c r="BK80" s="549"/>
      <c r="BL80" s="549"/>
      <c r="BM80" s="549"/>
      <c r="BN80" s="549"/>
      <c r="BO80" s="549"/>
      <c r="BP80" s="549"/>
      <c r="BQ80" s="549"/>
      <c r="BR80" s="99"/>
      <c r="BS80" s="99"/>
      <c r="BT80" s="99"/>
      <c r="BU80" s="99"/>
      <c r="BV80" s="99"/>
      <c r="BW80" s="99"/>
      <c r="BX80" s="99"/>
      <c r="BY80" s="99"/>
      <c r="BZ80" s="99"/>
      <c r="CA80" s="99"/>
      <c r="CB80" s="99"/>
      <c r="CC80" s="90"/>
      <c r="CD80" s="90"/>
      <c r="CE80" s="90"/>
      <c r="CF80" s="90"/>
    </row>
    <row r="81" spans="1:84">
      <c r="A81" s="97"/>
      <c r="B81" s="97"/>
      <c r="C81" s="97"/>
      <c r="D81" s="97"/>
      <c r="E81" s="104"/>
      <c r="F81" s="104"/>
      <c r="G81" s="97"/>
      <c r="H81" s="96"/>
      <c r="I81" s="96"/>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549"/>
      <c r="AI81" s="549"/>
      <c r="AJ81" s="549"/>
      <c r="AK81" s="549"/>
      <c r="AL81" s="549"/>
      <c r="AM81" s="549"/>
      <c r="AN81" s="549"/>
      <c r="AO81" s="549"/>
      <c r="AP81" s="549"/>
      <c r="AQ81" s="549"/>
      <c r="AR81" s="549"/>
      <c r="AS81" s="549"/>
      <c r="AT81" s="549"/>
      <c r="AU81" s="549"/>
      <c r="AV81" s="549"/>
      <c r="AW81" s="549"/>
      <c r="AX81" s="549"/>
      <c r="AY81" s="549"/>
      <c r="AZ81" s="549"/>
      <c r="BA81" s="549"/>
      <c r="BB81" s="549"/>
      <c r="BC81" s="549"/>
      <c r="BD81" s="549"/>
      <c r="BE81" s="549"/>
      <c r="BF81" s="549"/>
      <c r="BG81" s="549"/>
      <c r="BH81" s="549"/>
      <c r="BI81" s="549"/>
      <c r="BJ81" s="549"/>
      <c r="BK81" s="549"/>
      <c r="BL81" s="549"/>
      <c r="BM81" s="549"/>
      <c r="BN81" s="549"/>
      <c r="BO81" s="549"/>
      <c r="BP81" s="549"/>
      <c r="BQ81" s="549"/>
      <c r="BR81" s="99"/>
      <c r="BS81" s="99"/>
      <c r="BT81" s="99"/>
      <c r="BU81" s="99"/>
      <c r="BV81" s="99"/>
      <c r="BW81" s="99"/>
      <c r="BX81" s="99"/>
      <c r="BY81" s="99"/>
      <c r="BZ81" s="99"/>
      <c r="CA81" s="99"/>
      <c r="CB81" s="99"/>
      <c r="CC81" s="90"/>
      <c r="CD81" s="90"/>
      <c r="CE81" s="90"/>
      <c r="CF81" s="90"/>
    </row>
    <row r="82" spans="1:84">
      <c r="A82" s="97"/>
      <c r="B82" s="97"/>
      <c r="C82" s="97"/>
      <c r="D82" s="97"/>
      <c r="E82" s="104"/>
      <c r="F82" s="104"/>
      <c r="G82" s="97"/>
      <c r="H82" s="96"/>
      <c r="I82" s="96"/>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549"/>
      <c r="AI82" s="549"/>
      <c r="AJ82" s="549"/>
      <c r="AK82" s="549"/>
      <c r="AL82" s="549"/>
      <c r="AM82" s="549"/>
      <c r="AN82" s="549"/>
      <c r="AO82" s="549"/>
      <c r="AP82" s="549"/>
      <c r="AQ82" s="549"/>
      <c r="AR82" s="549"/>
      <c r="AS82" s="549"/>
      <c r="AT82" s="549"/>
      <c r="AU82" s="549"/>
      <c r="AV82" s="549"/>
      <c r="AW82" s="549"/>
      <c r="AX82" s="549"/>
      <c r="AY82" s="549"/>
      <c r="AZ82" s="549"/>
      <c r="BA82" s="549"/>
      <c r="BB82" s="549"/>
      <c r="BC82" s="549"/>
      <c r="BD82" s="549"/>
      <c r="BE82" s="549"/>
      <c r="BF82" s="549"/>
      <c r="BG82" s="549"/>
      <c r="BH82" s="549"/>
      <c r="BI82" s="549"/>
      <c r="BJ82" s="549"/>
      <c r="BK82" s="549"/>
      <c r="BL82" s="549"/>
      <c r="BM82" s="549"/>
      <c r="BN82" s="549"/>
      <c r="BO82" s="549"/>
      <c r="BP82" s="549"/>
      <c r="BQ82" s="549"/>
      <c r="BR82" s="99"/>
      <c r="BS82" s="99"/>
      <c r="BT82" s="99"/>
      <c r="BU82" s="99"/>
      <c r="BV82" s="99"/>
      <c r="BW82" s="99"/>
      <c r="BX82" s="99"/>
      <c r="BY82" s="99"/>
      <c r="BZ82" s="99"/>
      <c r="CA82" s="99"/>
      <c r="CB82" s="99"/>
      <c r="CC82" s="90"/>
      <c r="CD82" s="90"/>
      <c r="CE82" s="90"/>
      <c r="CF82" s="90"/>
    </row>
    <row r="83" spans="1:84">
      <c r="A83" s="97"/>
      <c r="B83" s="97"/>
      <c r="C83" s="97"/>
      <c r="D83" s="97"/>
      <c r="E83" s="104"/>
      <c r="F83" s="104"/>
      <c r="G83" s="97"/>
      <c r="H83" s="96"/>
      <c r="I83" s="96"/>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549"/>
      <c r="AI83" s="549"/>
      <c r="AJ83" s="549"/>
      <c r="AK83" s="549"/>
      <c r="AL83" s="549"/>
      <c r="AM83" s="549"/>
      <c r="AN83" s="549"/>
      <c r="AO83" s="549"/>
      <c r="AP83" s="549"/>
      <c r="AQ83" s="549"/>
      <c r="AR83" s="549"/>
      <c r="AS83" s="549"/>
      <c r="AT83" s="549"/>
      <c r="AU83" s="549"/>
      <c r="AV83" s="549"/>
      <c r="AW83" s="549"/>
      <c r="AX83" s="549"/>
      <c r="AY83" s="549"/>
      <c r="AZ83" s="549"/>
      <c r="BA83" s="549"/>
      <c r="BB83" s="549"/>
      <c r="BC83" s="549"/>
      <c r="BD83" s="549"/>
      <c r="BE83" s="549"/>
      <c r="BF83" s="549"/>
      <c r="BG83" s="549"/>
      <c r="BH83" s="549"/>
      <c r="BI83" s="549"/>
      <c r="BJ83" s="549"/>
      <c r="BK83" s="549"/>
      <c r="BL83" s="549"/>
      <c r="BM83" s="549"/>
      <c r="BN83" s="549"/>
      <c r="BO83" s="549"/>
      <c r="BP83" s="549"/>
      <c r="BQ83" s="549"/>
      <c r="BR83" s="99"/>
      <c r="BS83" s="99"/>
      <c r="BT83" s="99"/>
      <c r="BU83" s="99"/>
      <c r="BV83" s="99"/>
      <c r="BW83" s="99"/>
      <c r="BX83" s="99"/>
      <c r="BY83" s="99"/>
      <c r="BZ83" s="99"/>
      <c r="CA83" s="99"/>
      <c r="CB83" s="99"/>
      <c r="CC83" s="90"/>
      <c r="CD83" s="90"/>
      <c r="CE83" s="90"/>
      <c r="CF83" s="90"/>
    </row>
    <row r="84" spans="1:84">
      <c r="A84" s="97"/>
      <c r="B84" s="97"/>
      <c r="C84" s="97"/>
      <c r="D84" s="97"/>
      <c r="E84" s="104"/>
      <c r="F84" s="104"/>
      <c r="G84" s="97"/>
      <c r="H84" s="96"/>
      <c r="I84" s="96"/>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549"/>
      <c r="AI84" s="549"/>
      <c r="AJ84" s="549"/>
      <c r="AK84" s="549"/>
      <c r="AL84" s="549"/>
      <c r="AM84" s="549"/>
      <c r="AN84" s="549"/>
      <c r="AO84" s="549"/>
      <c r="AP84" s="549"/>
      <c r="AQ84" s="549"/>
      <c r="AR84" s="549"/>
      <c r="AS84" s="549"/>
      <c r="AT84" s="549"/>
      <c r="AU84" s="549"/>
      <c r="AV84" s="549"/>
      <c r="AW84" s="549"/>
      <c r="AX84" s="549"/>
      <c r="AY84" s="549"/>
      <c r="AZ84" s="549"/>
      <c r="BA84" s="549"/>
      <c r="BB84" s="549"/>
      <c r="BC84" s="549"/>
      <c r="BD84" s="549"/>
      <c r="BE84" s="549"/>
      <c r="BF84" s="549"/>
      <c r="BG84" s="549"/>
      <c r="BH84" s="549"/>
      <c r="BI84" s="549"/>
      <c r="BJ84" s="549"/>
      <c r="BK84" s="549"/>
      <c r="BL84" s="549"/>
      <c r="BM84" s="549"/>
      <c r="BN84" s="549"/>
      <c r="BO84" s="549"/>
      <c r="BP84" s="549"/>
      <c r="BQ84" s="549"/>
      <c r="BR84" s="99"/>
      <c r="BS84" s="99"/>
      <c r="BT84" s="99"/>
      <c r="BU84" s="99"/>
      <c r="BV84" s="99"/>
      <c r="BW84" s="99"/>
      <c r="BX84" s="99"/>
      <c r="BY84" s="99"/>
      <c r="BZ84" s="99"/>
      <c r="CA84" s="99"/>
      <c r="CB84" s="99"/>
      <c r="CC84" s="90"/>
      <c r="CD84" s="90"/>
      <c r="CE84" s="90"/>
      <c r="CF84" s="90"/>
    </row>
    <row r="85" spans="1:84">
      <c r="A85" s="97"/>
      <c r="B85" s="97"/>
      <c r="C85" s="97"/>
      <c r="D85" s="97"/>
      <c r="E85" s="104"/>
      <c r="F85" s="104"/>
      <c r="G85" s="97"/>
      <c r="H85" s="96"/>
      <c r="I85" s="96"/>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549"/>
      <c r="AI85" s="549"/>
      <c r="AJ85" s="549"/>
      <c r="AK85" s="549"/>
      <c r="AL85" s="549"/>
      <c r="AM85" s="549"/>
      <c r="AN85" s="549"/>
      <c r="AO85" s="549"/>
      <c r="AP85" s="549"/>
      <c r="AQ85" s="549"/>
      <c r="AR85" s="549"/>
      <c r="AS85" s="549"/>
      <c r="AT85" s="549"/>
      <c r="AU85" s="549"/>
      <c r="AV85" s="549"/>
      <c r="AW85" s="549"/>
      <c r="AX85" s="549"/>
      <c r="AY85" s="549"/>
      <c r="AZ85" s="549"/>
      <c r="BA85" s="549"/>
      <c r="BB85" s="549"/>
      <c r="BC85" s="549"/>
      <c r="BD85" s="549"/>
      <c r="BE85" s="549"/>
      <c r="BF85" s="549"/>
      <c r="BG85" s="549"/>
      <c r="BH85" s="549"/>
      <c r="BI85" s="549"/>
      <c r="BJ85" s="549"/>
      <c r="BK85" s="549"/>
      <c r="BL85" s="549"/>
      <c r="BM85" s="549"/>
      <c r="BN85" s="549"/>
      <c r="BO85" s="549"/>
      <c r="BP85" s="549"/>
      <c r="BQ85" s="549"/>
      <c r="BR85" s="99"/>
      <c r="BS85" s="99"/>
      <c r="BT85" s="99"/>
      <c r="BU85" s="99"/>
      <c r="BV85" s="99"/>
      <c r="BW85" s="99"/>
      <c r="BX85" s="99"/>
      <c r="BY85" s="99"/>
      <c r="BZ85" s="99"/>
      <c r="CA85" s="99"/>
      <c r="CB85" s="99"/>
      <c r="CC85" s="90"/>
      <c r="CD85" s="90"/>
      <c r="CE85" s="90"/>
      <c r="CF85" s="90"/>
    </row>
    <row r="86" spans="1:84">
      <c r="A86" s="97"/>
      <c r="B86" s="97"/>
      <c r="C86" s="97"/>
      <c r="D86" s="97"/>
      <c r="E86" s="104"/>
      <c r="F86" s="104"/>
      <c r="G86" s="97"/>
      <c r="H86" s="96"/>
      <c r="I86" s="96"/>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549"/>
      <c r="AI86" s="549"/>
      <c r="AJ86" s="549"/>
      <c r="AK86" s="549"/>
      <c r="AL86" s="549"/>
      <c r="AM86" s="549"/>
      <c r="AN86" s="549"/>
      <c r="AO86" s="549"/>
      <c r="AP86" s="549"/>
      <c r="AQ86" s="549"/>
      <c r="AR86" s="549"/>
      <c r="AS86" s="549"/>
      <c r="AT86" s="549"/>
      <c r="AU86" s="549"/>
      <c r="AV86" s="549"/>
      <c r="AW86" s="549"/>
      <c r="AX86" s="549"/>
      <c r="AY86" s="549"/>
      <c r="AZ86" s="549"/>
      <c r="BA86" s="549"/>
      <c r="BB86" s="549"/>
      <c r="BC86" s="549"/>
      <c r="BD86" s="549"/>
      <c r="BE86" s="549"/>
      <c r="BF86" s="549"/>
      <c r="BG86" s="549"/>
      <c r="BH86" s="549"/>
      <c r="BI86" s="549"/>
      <c r="BJ86" s="549"/>
      <c r="BK86" s="549"/>
      <c r="BL86" s="549"/>
      <c r="BM86" s="549"/>
      <c r="BN86" s="549"/>
      <c r="BO86" s="549"/>
      <c r="BP86" s="549"/>
      <c r="BQ86" s="549"/>
      <c r="BR86" s="99"/>
      <c r="BS86" s="99"/>
      <c r="BT86" s="99"/>
      <c r="BU86" s="99"/>
      <c r="BV86" s="99"/>
      <c r="BW86" s="99"/>
      <c r="BX86" s="99"/>
      <c r="BY86" s="99"/>
      <c r="BZ86" s="99"/>
      <c r="CA86" s="99"/>
      <c r="CB86" s="99"/>
      <c r="CC86" s="90"/>
      <c r="CD86" s="90"/>
      <c r="CE86" s="90"/>
      <c r="CF86" s="90"/>
    </row>
    <row r="87" spans="1:84">
      <c r="A87" s="97"/>
      <c r="B87" s="97"/>
      <c r="C87" s="97"/>
      <c r="D87" s="97"/>
      <c r="E87" s="104"/>
      <c r="F87" s="104"/>
      <c r="G87" s="97"/>
      <c r="H87" s="96"/>
      <c r="I87" s="96"/>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549"/>
      <c r="AI87" s="549"/>
      <c r="AJ87" s="549"/>
      <c r="AK87" s="549"/>
      <c r="AL87" s="549"/>
      <c r="AM87" s="549"/>
      <c r="AN87" s="549"/>
      <c r="AO87" s="549"/>
      <c r="AP87" s="549"/>
      <c r="AQ87" s="549"/>
      <c r="AR87" s="549"/>
      <c r="AS87" s="549"/>
      <c r="AT87" s="549"/>
      <c r="AU87" s="549"/>
      <c r="AV87" s="549"/>
      <c r="AW87" s="549"/>
      <c r="AX87" s="549"/>
      <c r="AY87" s="549"/>
      <c r="AZ87" s="549"/>
      <c r="BA87" s="549"/>
      <c r="BB87" s="549"/>
      <c r="BC87" s="549"/>
      <c r="BD87" s="549"/>
      <c r="BE87" s="549"/>
      <c r="BF87" s="549"/>
      <c r="BG87" s="549"/>
      <c r="BH87" s="549"/>
      <c r="BI87" s="549"/>
      <c r="BJ87" s="549"/>
      <c r="BK87" s="549"/>
      <c r="BL87" s="549"/>
      <c r="BM87" s="549"/>
      <c r="BN87" s="549"/>
      <c r="BO87" s="549"/>
      <c r="BP87" s="549"/>
      <c r="BQ87" s="549"/>
      <c r="BR87" s="99"/>
      <c r="BS87" s="99"/>
      <c r="BT87" s="99"/>
      <c r="BU87" s="99"/>
      <c r="BV87" s="99"/>
      <c r="BW87" s="99"/>
      <c r="BX87" s="99"/>
      <c r="BY87" s="99"/>
      <c r="BZ87" s="99"/>
      <c r="CA87" s="99"/>
      <c r="CB87" s="99"/>
      <c r="CC87" s="90"/>
      <c r="CD87" s="90"/>
      <c r="CE87" s="90"/>
      <c r="CF87" s="90"/>
    </row>
    <row r="88" spans="1:84">
      <c r="A88" s="97"/>
      <c r="B88" s="97"/>
      <c r="C88" s="97"/>
      <c r="D88" s="97"/>
      <c r="E88" s="104"/>
      <c r="F88" s="104"/>
      <c r="G88" s="97"/>
      <c r="H88" s="96"/>
      <c r="I88" s="96"/>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549"/>
      <c r="AI88" s="549"/>
      <c r="AJ88" s="549"/>
      <c r="AK88" s="549"/>
      <c r="AL88" s="549"/>
      <c r="AM88" s="549"/>
      <c r="AN88" s="549"/>
      <c r="AO88" s="549"/>
      <c r="AP88" s="549"/>
      <c r="AQ88" s="549"/>
      <c r="AR88" s="549"/>
      <c r="AS88" s="549"/>
      <c r="AT88" s="549"/>
      <c r="AU88" s="549"/>
      <c r="AV88" s="549"/>
      <c r="AW88" s="549"/>
      <c r="AX88" s="549"/>
      <c r="AY88" s="549"/>
      <c r="AZ88" s="549"/>
      <c r="BA88" s="549"/>
      <c r="BB88" s="549"/>
      <c r="BC88" s="549"/>
      <c r="BD88" s="549"/>
      <c r="BE88" s="549"/>
      <c r="BF88" s="549"/>
      <c r="BG88" s="549"/>
      <c r="BH88" s="549"/>
      <c r="BI88" s="549"/>
      <c r="BJ88" s="549"/>
      <c r="BK88" s="549"/>
      <c r="BL88" s="549"/>
      <c r="BM88" s="549"/>
      <c r="BN88" s="549"/>
      <c r="BO88" s="549"/>
      <c r="BP88" s="549"/>
      <c r="BQ88" s="549"/>
      <c r="BR88" s="99"/>
      <c r="BS88" s="99"/>
      <c r="BT88" s="99"/>
      <c r="BU88" s="99"/>
      <c r="BV88" s="99"/>
      <c r="BW88" s="99"/>
      <c r="BX88" s="99"/>
      <c r="BY88" s="99"/>
      <c r="BZ88" s="99"/>
      <c r="CA88" s="99"/>
      <c r="CB88" s="99"/>
      <c r="CC88" s="90"/>
      <c r="CD88" s="90"/>
      <c r="CE88" s="90"/>
      <c r="CF88" s="90"/>
    </row>
    <row r="89" spans="1:84">
      <c r="A89" s="97"/>
      <c r="B89" s="97"/>
      <c r="C89" s="97"/>
      <c r="D89" s="97"/>
      <c r="E89" s="104"/>
      <c r="F89" s="104"/>
      <c r="G89" s="97"/>
      <c r="H89" s="96"/>
      <c r="I89" s="96"/>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549"/>
      <c r="AI89" s="549"/>
      <c r="AJ89" s="549"/>
      <c r="AK89" s="549"/>
      <c r="AL89" s="549"/>
      <c r="AM89" s="549"/>
      <c r="AN89" s="549"/>
      <c r="AO89" s="494"/>
      <c r="AP89" s="494"/>
      <c r="AQ89" s="494"/>
      <c r="AR89" s="494"/>
      <c r="AS89" s="494"/>
      <c r="AT89" s="494"/>
      <c r="AU89" s="494"/>
      <c r="AV89" s="494"/>
      <c r="AW89" s="494"/>
      <c r="AX89" s="854"/>
      <c r="AY89" s="854"/>
      <c r="AZ89" s="854"/>
      <c r="BA89" s="854"/>
      <c r="BB89" s="854"/>
      <c r="BC89" s="854"/>
      <c r="BD89" s="854"/>
      <c r="BE89" s="854"/>
      <c r="BF89" s="854"/>
      <c r="BG89" s="854"/>
      <c r="BH89" s="854"/>
      <c r="BI89" s="854"/>
      <c r="BJ89" s="854"/>
      <c r="BK89" s="854"/>
      <c r="BL89" s="854"/>
      <c r="BM89" s="855"/>
      <c r="BN89" s="855"/>
      <c r="BO89" s="855"/>
      <c r="BP89" s="855"/>
      <c r="BQ89" s="855"/>
      <c r="BR89" s="856"/>
      <c r="BS89" s="99"/>
      <c r="BT89" s="99"/>
      <c r="BU89" s="99"/>
      <c r="BV89" s="99"/>
      <c r="BW89" s="99"/>
      <c r="BX89" s="99"/>
      <c r="BY89" s="99"/>
      <c r="BZ89" s="99"/>
      <c r="CA89" s="99"/>
      <c r="CB89" s="99"/>
      <c r="CC89" s="90"/>
      <c r="CD89" s="90"/>
      <c r="CE89" s="90"/>
      <c r="CF89" s="90"/>
    </row>
    <row r="90" spans="1:84">
      <c r="A90" s="97"/>
      <c r="B90" s="97"/>
      <c r="C90" s="97"/>
      <c r="D90" s="97"/>
      <c r="E90" s="104"/>
      <c r="F90" s="104"/>
      <c r="G90" s="97"/>
      <c r="H90" s="96"/>
      <c r="I90" s="96"/>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549"/>
      <c r="AI90" s="549"/>
      <c r="AJ90" s="549"/>
      <c r="AK90" s="549"/>
      <c r="AL90" s="549"/>
      <c r="AM90" s="549"/>
      <c r="AN90" s="549"/>
      <c r="AO90" s="869"/>
      <c r="AP90" s="869"/>
      <c r="AQ90" s="869"/>
      <c r="AR90" s="869"/>
      <c r="AS90" s="869"/>
      <c r="AT90" s="869"/>
      <c r="AU90" s="869"/>
      <c r="AV90" s="869"/>
      <c r="AW90" s="869"/>
      <c r="AX90" s="854"/>
      <c r="AY90" s="854"/>
      <c r="AZ90" s="854"/>
      <c r="BA90" s="854"/>
      <c r="BB90" s="854"/>
      <c r="BC90" s="854"/>
      <c r="BD90" s="854"/>
      <c r="BE90" s="854"/>
      <c r="BF90" s="854"/>
      <c r="BG90" s="854"/>
      <c r="BH90" s="854"/>
      <c r="BI90" s="854"/>
      <c r="BJ90" s="854"/>
      <c r="BK90" s="854"/>
      <c r="BL90" s="854"/>
      <c r="BM90" s="855"/>
      <c r="BN90" s="855"/>
      <c r="BO90" s="855"/>
      <c r="BP90" s="855"/>
      <c r="BQ90" s="855"/>
      <c r="BR90" s="856"/>
      <c r="BS90" s="99"/>
      <c r="BT90" s="99"/>
      <c r="BU90" s="99"/>
      <c r="BV90" s="99"/>
      <c r="BW90" s="99"/>
      <c r="BX90" s="99"/>
      <c r="BY90" s="99"/>
      <c r="BZ90" s="99"/>
      <c r="CA90" s="99"/>
      <c r="CB90" s="99"/>
      <c r="CC90" s="90"/>
      <c r="CD90" s="90"/>
      <c r="CE90" s="90"/>
      <c r="CF90" s="90"/>
    </row>
    <row r="91" spans="1:84">
      <c r="A91" s="97"/>
      <c r="B91" s="97"/>
      <c r="C91" s="97"/>
      <c r="D91" s="97"/>
      <c r="E91" s="104"/>
      <c r="F91" s="104"/>
      <c r="G91" s="97"/>
      <c r="H91" s="96"/>
      <c r="I91" s="96"/>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549"/>
      <c r="AI91" s="549"/>
      <c r="AJ91" s="549"/>
      <c r="AK91" s="549"/>
      <c r="AL91" s="549"/>
      <c r="AM91" s="549"/>
      <c r="AN91" s="549"/>
      <c r="AO91" s="869"/>
      <c r="AP91" s="869"/>
      <c r="AQ91" s="869"/>
      <c r="AR91" s="869"/>
      <c r="AS91" s="869"/>
      <c r="AT91" s="869"/>
      <c r="AU91" s="869"/>
      <c r="AV91" s="869"/>
      <c r="AW91" s="869"/>
      <c r="AX91" s="854"/>
      <c r="AY91" s="854"/>
      <c r="AZ91" s="854"/>
      <c r="BA91" s="854"/>
      <c r="BB91" s="854"/>
      <c r="BC91" s="854"/>
      <c r="BD91" s="854"/>
      <c r="BE91" s="854"/>
      <c r="BF91" s="854"/>
      <c r="BG91" s="854"/>
      <c r="BH91" s="854"/>
      <c r="BI91" s="854"/>
      <c r="BJ91" s="854"/>
      <c r="BK91" s="854"/>
      <c r="BL91" s="854"/>
      <c r="BM91" s="855"/>
      <c r="BN91" s="855"/>
      <c r="BO91" s="855"/>
      <c r="BP91" s="855"/>
      <c r="BQ91" s="855"/>
      <c r="BR91" s="856"/>
      <c r="BS91" s="99"/>
      <c r="BT91" s="99"/>
      <c r="BU91" s="99"/>
      <c r="BV91" s="99"/>
      <c r="BW91" s="99"/>
      <c r="BX91" s="99"/>
      <c r="BY91" s="99"/>
      <c r="BZ91" s="99"/>
      <c r="CA91" s="99"/>
      <c r="CB91" s="99"/>
      <c r="CC91" s="90"/>
      <c r="CD91" s="90"/>
      <c r="CE91" s="90"/>
      <c r="CF91" s="90"/>
    </row>
    <row r="92" spans="1:84">
      <c r="A92" s="97"/>
      <c r="B92" s="97"/>
      <c r="C92" s="97"/>
      <c r="D92" s="97"/>
      <c r="E92" s="104"/>
      <c r="F92" s="104"/>
      <c r="G92" s="97"/>
      <c r="H92" s="96"/>
      <c r="I92" s="96"/>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549"/>
      <c r="AI92" s="549"/>
      <c r="AJ92" s="549"/>
      <c r="AK92" s="549"/>
      <c r="AL92" s="549"/>
      <c r="AM92" s="549"/>
      <c r="AN92" s="549"/>
      <c r="AO92" s="869"/>
      <c r="AP92" s="869"/>
      <c r="AQ92" s="869"/>
      <c r="AR92" s="869"/>
      <c r="AS92" s="869"/>
      <c r="AT92" s="869"/>
      <c r="AU92" s="869"/>
      <c r="AV92" s="869"/>
      <c r="AW92" s="869"/>
      <c r="AX92" s="854"/>
      <c r="AY92" s="854"/>
      <c r="AZ92" s="854"/>
      <c r="BA92" s="854"/>
      <c r="BB92" s="854"/>
      <c r="BC92" s="854"/>
      <c r="BD92" s="854"/>
      <c r="BE92" s="854"/>
      <c r="BF92" s="854"/>
      <c r="BG92" s="854"/>
      <c r="BH92" s="854"/>
      <c r="BI92" s="854"/>
      <c r="BJ92" s="854"/>
      <c r="BK92" s="854"/>
      <c r="BL92" s="854"/>
      <c r="BM92" s="855"/>
      <c r="BN92" s="855"/>
      <c r="BO92" s="855"/>
      <c r="BP92" s="855"/>
      <c r="BQ92" s="855"/>
      <c r="BR92" s="856"/>
      <c r="BS92" s="99"/>
      <c r="BT92" s="99"/>
      <c r="BU92" s="99"/>
      <c r="BV92" s="99"/>
      <c r="BW92" s="99"/>
      <c r="BX92" s="99"/>
      <c r="BY92" s="99"/>
      <c r="BZ92" s="99"/>
      <c r="CA92" s="99"/>
      <c r="CB92" s="99"/>
      <c r="CC92" s="90"/>
      <c r="CD92" s="90"/>
      <c r="CE92" s="90"/>
      <c r="CF92" s="90"/>
    </row>
    <row r="93" spans="1:84">
      <c r="A93" s="97"/>
      <c r="B93" s="97"/>
      <c r="C93" s="97"/>
      <c r="D93" s="97"/>
      <c r="E93" s="104"/>
      <c r="F93" s="104"/>
      <c r="G93" s="97"/>
      <c r="H93" s="96"/>
      <c r="I93" s="96"/>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549"/>
      <c r="AI93" s="549"/>
      <c r="AJ93" s="549"/>
      <c r="AK93" s="549"/>
      <c r="AL93" s="549"/>
      <c r="AM93" s="549"/>
      <c r="AN93" s="549"/>
      <c r="AO93" s="869"/>
      <c r="AP93" s="869"/>
      <c r="AQ93" s="869"/>
      <c r="AR93" s="869"/>
      <c r="AS93" s="869"/>
      <c r="AT93" s="869"/>
      <c r="AU93" s="869"/>
      <c r="AV93" s="869"/>
      <c r="AW93" s="869"/>
      <c r="AX93" s="854"/>
      <c r="AY93" s="854"/>
      <c r="AZ93" s="854"/>
      <c r="BA93" s="854"/>
      <c r="BB93" s="854"/>
      <c r="BC93" s="854"/>
      <c r="BD93" s="854"/>
      <c r="BE93" s="854"/>
      <c r="BF93" s="854"/>
      <c r="BG93" s="854"/>
      <c r="BH93" s="854"/>
      <c r="BI93" s="854"/>
      <c r="BJ93" s="854"/>
      <c r="BK93" s="854"/>
      <c r="BL93" s="854"/>
      <c r="BM93" s="857"/>
      <c r="BN93" s="857"/>
      <c r="BO93" s="857"/>
      <c r="BP93" s="857"/>
      <c r="BQ93" s="857"/>
      <c r="BR93" s="858"/>
      <c r="BS93" s="108"/>
      <c r="BT93" s="108"/>
      <c r="BU93" s="99"/>
      <c r="BV93" s="99"/>
      <c r="BW93" s="99"/>
      <c r="BX93" s="99"/>
      <c r="BY93" s="99"/>
      <c r="BZ93" s="99"/>
      <c r="CA93" s="99"/>
      <c r="CB93" s="99"/>
      <c r="CC93" s="90"/>
      <c r="CD93" s="90"/>
      <c r="CE93" s="90"/>
      <c r="CF93" s="90"/>
    </row>
    <row r="94" spans="1:84">
      <c r="A94" s="97"/>
      <c r="B94" s="97"/>
      <c r="C94" s="97"/>
      <c r="D94" s="97"/>
      <c r="E94" s="104"/>
      <c r="F94" s="104"/>
      <c r="G94" s="97"/>
      <c r="H94" s="96"/>
      <c r="I94" s="96"/>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549"/>
      <c r="AI94" s="549"/>
      <c r="AJ94" s="549"/>
      <c r="AK94" s="549"/>
      <c r="AL94" s="549"/>
      <c r="AM94" s="549"/>
      <c r="AN94" s="549"/>
      <c r="AO94" s="869"/>
      <c r="AP94" s="869"/>
      <c r="AQ94" s="869"/>
      <c r="AR94" s="869"/>
      <c r="AS94" s="869"/>
      <c r="AT94" s="869"/>
      <c r="AU94" s="869"/>
      <c r="AV94" s="869"/>
      <c r="AW94" s="869"/>
      <c r="AX94" s="854"/>
      <c r="AY94" s="854"/>
      <c r="AZ94" s="854"/>
      <c r="BA94" s="854"/>
      <c r="BB94" s="854"/>
      <c r="BC94" s="854"/>
      <c r="BD94" s="854"/>
      <c r="BE94" s="854"/>
      <c r="BF94" s="854"/>
      <c r="BG94" s="854"/>
      <c r="BH94" s="854"/>
      <c r="BI94" s="854"/>
      <c r="BJ94" s="854"/>
      <c r="BK94" s="854"/>
      <c r="BL94" s="854"/>
      <c r="BM94" s="857"/>
      <c r="BN94" s="857"/>
      <c r="BO94" s="857"/>
      <c r="BP94" s="857"/>
      <c r="BQ94" s="857"/>
      <c r="BR94" s="858"/>
      <c r="BS94" s="108"/>
      <c r="BT94" s="108"/>
      <c r="BU94" s="99"/>
      <c r="BV94" s="99"/>
      <c r="BW94" s="99"/>
      <c r="BX94" s="99"/>
      <c r="BY94" s="99"/>
      <c r="BZ94" s="99"/>
      <c r="CA94" s="99"/>
      <c r="CB94" s="99"/>
      <c r="CC94" s="90"/>
      <c r="CD94" s="90"/>
      <c r="CE94" s="90"/>
      <c r="CF94" s="90"/>
    </row>
    <row r="95" spans="1:84">
      <c r="A95" s="97"/>
      <c r="B95" s="97"/>
      <c r="C95" s="97"/>
      <c r="D95" s="97"/>
      <c r="E95" s="97"/>
      <c r="F95" s="97"/>
      <c r="G95" s="97"/>
      <c r="H95" s="96"/>
      <c r="I95" s="96"/>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549"/>
      <c r="AI95" s="549"/>
      <c r="AJ95" s="549"/>
      <c r="AK95" s="549"/>
      <c r="AL95" s="549"/>
      <c r="AM95" s="549"/>
      <c r="AN95" s="549"/>
      <c r="AO95" s="869"/>
      <c r="AP95" s="869"/>
      <c r="AQ95" s="869"/>
      <c r="AR95" s="869"/>
      <c r="AS95" s="869"/>
      <c r="AT95" s="869"/>
      <c r="AU95" s="869"/>
      <c r="AV95" s="869"/>
      <c r="AW95" s="869"/>
      <c r="AX95" s="854"/>
      <c r="AY95" s="854"/>
      <c r="AZ95" s="854"/>
      <c r="BA95" s="854"/>
      <c r="BB95" s="854"/>
      <c r="BC95" s="854"/>
      <c r="BD95" s="854"/>
      <c r="BE95" s="854"/>
      <c r="BF95" s="854"/>
      <c r="BG95" s="854" t="str">
        <f>IF(OR(B5=AX107,B5=AX108),"5 to 10","&lt;5")</f>
        <v>&lt;5</v>
      </c>
      <c r="BH95" s="854"/>
      <c r="BI95" s="854"/>
      <c r="BJ95" s="854"/>
      <c r="BK95" s="854"/>
      <c r="BL95" s="854"/>
      <c r="BM95" s="857"/>
      <c r="BN95" s="857"/>
      <c r="BO95" s="857"/>
      <c r="BP95" s="857"/>
      <c r="BQ95" s="857"/>
      <c r="BR95" s="858"/>
      <c r="BS95" s="108"/>
      <c r="BT95" s="108"/>
      <c r="BU95" s="99"/>
      <c r="BV95" s="99"/>
      <c r="BW95" s="99"/>
      <c r="BX95" s="99"/>
      <c r="BY95" s="99"/>
      <c r="BZ95" s="99"/>
      <c r="CA95" s="99"/>
      <c r="CB95" s="99"/>
      <c r="CC95" s="90"/>
      <c r="CD95" s="90"/>
      <c r="CE95" s="90"/>
      <c r="CF95" s="90"/>
    </row>
    <row r="96" spans="1:84">
      <c r="A96" s="97"/>
      <c r="B96" s="97"/>
      <c r="C96" s="97"/>
      <c r="D96" s="97"/>
      <c r="E96" s="97"/>
      <c r="F96" s="97"/>
      <c r="G96" s="97"/>
      <c r="H96" s="96"/>
      <c r="I96" s="96"/>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549"/>
      <c r="AI96" s="549"/>
      <c r="AJ96" s="549"/>
      <c r="AK96" s="549"/>
      <c r="AL96" s="549"/>
      <c r="AM96" s="549"/>
      <c r="AN96" s="549"/>
      <c r="AO96" s="869"/>
      <c r="AP96" s="869"/>
      <c r="AQ96" s="869"/>
      <c r="AR96" s="869"/>
      <c r="AS96" s="869"/>
      <c r="AT96" s="869"/>
      <c r="AU96" s="869"/>
      <c r="AV96" s="869"/>
      <c r="AW96" s="869"/>
      <c r="AX96" s="854"/>
      <c r="AY96" s="854"/>
      <c r="AZ96" s="854"/>
      <c r="BA96" s="854"/>
      <c r="BB96" s="854"/>
      <c r="BC96" s="854"/>
      <c r="BD96" s="854"/>
      <c r="BE96" s="854"/>
      <c r="BF96" s="854"/>
      <c r="BG96" s="854"/>
      <c r="BH96" s="854"/>
      <c r="BI96" s="854"/>
      <c r="BJ96" s="854"/>
      <c r="BK96" s="854"/>
      <c r="BL96" s="854"/>
      <c r="BM96" s="857"/>
      <c r="BN96" s="857"/>
      <c r="BO96" s="857"/>
      <c r="BP96" s="857"/>
      <c r="BQ96" s="857"/>
      <c r="BR96" s="858"/>
      <c r="BS96" s="108"/>
      <c r="BT96" s="108"/>
      <c r="BU96" s="99"/>
      <c r="BV96" s="99"/>
      <c r="BW96" s="99"/>
      <c r="BX96" s="99"/>
      <c r="BY96" s="99"/>
      <c r="BZ96" s="99"/>
      <c r="CA96" s="99"/>
      <c r="CB96" s="99"/>
      <c r="CC96" s="90"/>
      <c r="CD96" s="90"/>
      <c r="CE96" s="90"/>
      <c r="CF96" s="90"/>
    </row>
    <row r="97" spans="1:84">
      <c r="A97" s="97"/>
      <c r="B97" s="97"/>
      <c r="C97" s="97"/>
      <c r="D97" s="97"/>
      <c r="E97" s="97"/>
      <c r="F97" s="97"/>
      <c r="G97" s="97"/>
      <c r="H97" s="96"/>
      <c r="I97" s="96"/>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549"/>
      <c r="AI97" s="549"/>
      <c r="AJ97" s="549"/>
      <c r="AK97" s="549"/>
      <c r="AL97" s="549"/>
      <c r="AM97" s="549"/>
      <c r="AN97" s="549"/>
      <c r="AO97" s="869"/>
      <c r="AP97" s="869"/>
      <c r="AQ97" s="869"/>
      <c r="AR97" s="869"/>
      <c r="AS97" s="869"/>
      <c r="AT97" s="869"/>
      <c r="AU97" s="869"/>
      <c r="AV97" s="869"/>
      <c r="AW97" s="869"/>
      <c r="AX97" s="859">
        <f>IF(B5="&lt;5",BF108,IF(B5="5 to 10",BF109,IF(B5="&gt;10",BF110,0)))</f>
        <v>0</v>
      </c>
      <c r="AY97" s="854"/>
      <c r="AZ97" s="854"/>
      <c r="BA97" s="854"/>
      <c r="BB97" s="854"/>
      <c r="BC97" s="854"/>
      <c r="BD97" s="854"/>
      <c r="BE97" s="854"/>
      <c r="BF97" s="854"/>
      <c r="BG97" s="854"/>
      <c r="BH97" s="854"/>
      <c r="BI97" s="854"/>
      <c r="BJ97" s="854"/>
      <c r="BK97" s="854"/>
      <c r="BL97" s="854"/>
      <c r="BM97" s="857"/>
      <c r="BN97" s="857"/>
      <c r="BO97" s="857"/>
      <c r="BP97" s="857"/>
      <c r="BQ97" s="857" t="s">
        <v>36</v>
      </c>
      <c r="BR97" s="858"/>
      <c r="BS97" s="108"/>
      <c r="BT97" s="108"/>
      <c r="BU97" s="99"/>
      <c r="BV97" s="99"/>
      <c r="BW97" s="99"/>
      <c r="BX97" s="99"/>
      <c r="BY97" s="99"/>
      <c r="BZ97" s="99"/>
      <c r="CA97" s="99"/>
      <c r="CB97" s="99"/>
      <c r="CC97" s="90"/>
      <c r="CD97" s="90"/>
      <c r="CE97" s="90"/>
      <c r="CF97" s="90"/>
    </row>
    <row r="98" spans="1:84">
      <c r="A98" s="97"/>
      <c r="B98" s="97"/>
      <c r="C98" s="97"/>
      <c r="D98" s="97"/>
      <c r="E98" s="97"/>
      <c r="F98" s="97"/>
      <c r="G98" s="97"/>
      <c r="H98" s="96"/>
      <c r="I98" s="96"/>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549"/>
      <c r="AI98" s="549"/>
      <c r="AJ98" s="549"/>
      <c r="AK98" s="549"/>
      <c r="AL98" s="549"/>
      <c r="AM98" s="549"/>
      <c r="AN98" s="549"/>
      <c r="AO98" s="869"/>
      <c r="AP98" s="869"/>
      <c r="AQ98" s="869"/>
      <c r="AR98" s="869"/>
      <c r="AS98" s="869"/>
      <c r="AT98" s="869"/>
      <c r="AU98" s="869"/>
      <c r="AV98" s="869"/>
      <c r="AW98" s="869"/>
      <c r="AX98" s="854"/>
      <c r="AY98" s="854"/>
      <c r="AZ98" s="854"/>
      <c r="BA98" s="854"/>
      <c r="BB98" s="854"/>
      <c r="BC98" s="854"/>
      <c r="BD98" s="854"/>
      <c r="BE98" s="854"/>
      <c r="BF98" s="854"/>
      <c r="BG98" s="854"/>
      <c r="BH98" s="854"/>
      <c r="BI98" s="854"/>
      <c r="BJ98" s="854"/>
      <c r="BK98" s="854"/>
      <c r="BL98" s="854"/>
      <c r="BM98" s="857"/>
      <c r="BN98" s="857"/>
      <c r="BO98" s="857"/>
      <c r="BP98" s="857"/>
      <c r="BQ98" s="857"/>
      <c r="BR98" s="858"/>
      <c r="BS98" s="108"/>
      <c r="BT98" s="108"/>
      <c r="BU98" s="99"/>
      <c r="BV98" s="99"/>
      <c r="BW98" s="99"/>
      <c r="BX98" s="99"/>
      <c r="BY98" s="99"/>
      <c r="BZ98" s="99"/>
      <c r="CA98" s="99"/>
      <c r="CB98" s="99"/>
      <c r="CC98" s="90"/>
      <c r="CD98" s="90"/>
      <c r="CE98" s="90"/>
      <c r="CF98" s="90"/>
    </row>
    <row r="99" spans="1:84">
      <c r="A99" s="97"/>
      <c r="B99" s="97"/>
      <c r="C99" s="97"/>
      <c r="D99" s="97"/>
      <c r="E99" s="97"/>
      <c r="F99" s="97"/>
      <c r="G99" s="97"/>
      <c r="H99" s="96"/>
      <c r="I99" s="96"/>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549"/>
      <c r="AI99" s="549"/>
      <c r="AJ99" s="549"/>
      <c r="AK99" s="549"/>
      <c r="AL99" s="549"/>
      <c r="AM99" s="549"/>
      <c r="AN99" s="549"/>
      <c r="AO99" s="869"/>
      <c r="AP99" s="869"/>
      <c r="AQ99" s="869"/>
      <c r="AR99" s="869"/>
      <c r="AS99" s="869"/>
      <c r="AT99" s="869"/>
      <c r="AU99" s="869"/>
      <c r="AV99" s="869"/>
      <c r="AW99" s="869"/>
      <c r="AX99" s="854"/>
      <c r="AY99" s="854"/>
      <c r="AZ99" s="854"/>
      <c r="BA99" s="854"/>
      <c r="BB99" s="854"/>
      <c r="BC99" s="854"/>
      <c r="BD99" s="854"/>
      <c r="BE99" s="854"/>
      <c r="BF99" s="854"/>
      <c r="BG99" s="854"/>
      <c r="BH99" s="854"/>
      <c r="BI99" s="854"/>
      <c r="BJ99" s="854"/>
      <c r="BK99" s="854"/>
      <c r="BL99" s="854"/>
      <c r="BM99" s="857"/>
      <c r="BN99" s="857"/>
      <c r="BO99" s="857"/>
      <c r="BP99" s="857"/>
      <c r="BQ99" s="857"/>
      <c r="BR99" s="858"/>
      <c r="BS99" s="108"/>
      <c r="BT99" s="108"/>
      <c r="BU99" s="99"/>
      <c r="BV99" s="99"/>
      <c r="BW99" s="99"/>
      <c r="BX99" s="99"/>
      <c r="BY99" s="99"/>
      <c r="BZ99" s="99"/>
      <c r="CA99" s="99"/>
      <c r="CB99" s="99"/>
      <c r="CC99" s="90"/>
      <c r="CD99" s="90"/>
      <c r="CE99" s="90"/>
      <c r="CF99" s="90"/>
    </row>
    <row r="100" spans="1:84">
      <c r="A100" s="97"/>
      <c r="B100" s="97"/>
      <c r="C100" s="97"/>
      <c r="D100" s="97"/>
      <c r="E100" s="97"/>
      <c r="F100" s="97"/>
      <c r="G100" s="97"/>
      <c r="H100" s="96"/>
      <c r="I100" s="96"/>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549"/>
      <c r="AI100" s="549"/>
      <c r="AJ100" s="549"/>
      <c r="AK100" s="549"/>
      <c r="AL100" s="549"/>
      <c r="AM100" s="549"/>
      <c r="AN100" s="549"/>
      <c r="AO100" s="869"/>
      <c r="AP100" s="869"/>
      <c r="AQ100" s="869"/>
      <c r="AR100" s="869"/>
      <c r="AS100" s="869"/>
      <c r="AT100" s="869"/>
      <c r="AU100" s="869"/>
      <c r="AV100" s="869"/>
      <c r="AW100" s="869"/>
      <c r="AX100" s="854"/>
      <c r="AY100" s="854"/>
      <c r="AZ100" s="854"/>
      <c r="BA100" s="854"/>
      <c r="BB100" s="854"/>
      <c r="BC100" s="854"/>
      <c r="BD100" s="854"/>
      <c r="BE100" s="854"/>
      <c r="BF100" s="1023" t="s">
        <v>37</v>
      </c>
      <c r="BG100" s="1023"/>
      <c r="BH100" s="1023"/>
      <c r="BI100" s="1023"/>
      <c r="BJ100" s="860"/>
      <c r="BK100" s="854"/>
      <c r="BL100" s="854"/>
      <c r="BM100" s="857"/>
      <c r="BN100" s="857"/>
      <c r="BO100" s="857"/>
      <c r="BP100" s="857"/>
      <c r="BQ100" s="857"/>
      <c r="BR100" s="858"/>
      <c r="BS100" s="108"/>
      <c r="BT100" s="108"/>
      <c r="BU100" s="99"/>
      <c r="BV100" s="99"/>
      <c r="BW100" s="99"/>
      <c r="BX100" s="99"/>
      <c r="BY100" s="99"/>
      <c r="BZ100" s="99"/>
      <c r="CA100" s="99"/>
      <c r="CB100" s="99"/>
      <c r="CC100" s="90"/>
      <c r="CD100" s="90"/>
      <c r="CE100" s="90"/>
      <c r="CF100" s="90"/>
    </row>
    <row r="101" spans="1:84">
      <c r="A101" s="97"/>
      <c r="B101" s="97"/>
      <c r="C101" s="97"/>
      <c r="D101" s="97"/>
      <c r="E101" s="97"/>
      <c r="F101" s="97"/>
      <c r="G101" s="97"/>
      <c r="H101" s="96"/>
      <c r="I101" s="96"/>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549"/>
      <c r="AI101" s="549"/>
      <c r="AJ101" s="549"/>
      <c r="AK101" s="549"/>
      <c r="AL101" s="549"/>
      <c r="AM101" s="549"/>
      <c r="AN101" s="549"/>
      <c r="AO101" s="869"/>
      <c r="AP101" s="869"/>
      <c r="AQ101" s="869"/>
      <c r="AR101" s="869"/>
      <c r="AS101" s="869"/>
      <c r="AT101" s="869"/>
      <c r="AU101" s="869" t="s">
        <v>139</v>
      </c>
      <c r="AV101" s="866"/>
      <c r="AW101" s="866" t="s">
        <v>140</v>
      </c>
      <c r="AX101" s="854" t="s">
        <v>141</v>
      </c>
      <c r="AY101" s="1021" t="s">
        <v>38</v>
      </c>
      <c r="AZ101" s="1021"/>
      <c r="BA101" s="854" t="s">
        <v>12</v>
      </c>
      <c r="BB101" s="854" t="s">
        <v>39</v>
      </c>
      <c r="BC101" s="854" t="s">
        <v>40</v>
      </c>
      <c r="BD101" s="854" t="s">
        <v>41</v>
      </c>
      <c r="BE101" s="854" t="s">
        <v>42</v>
      </c>
      <c r="BF101" s="861"/>
      <c r="BG101" s="862" t="s">
        <v>91</v>
      </c>
      <c r="BH101" s="861" t="s">
        <v>93</v>
      </c>
      <c r="BI101" s="861" t="s">
        <v>94</v>
      </c>
      <c r="BJ101" s="854"/>
      <c r="BK101" s="854"/>
      <c r="BL101" s="854"/>
      <c r="BM101" s="863"/>
      <c r="BN101" s="863"/>
      <c r="BO101" s="863"/>
      <c r="BP101" s="863"/>
      <c r="BQ101" s="863"/>
      <c r="BR101" s="864"/>
      <c r="BS101" s="539"/>
      <c r="BT101" s="108"/>
      <c r="BU101" s="99"/>
      <c r="BV101" s="99"/>
      <c r="BW101" s="99"/>
      <c r="BX101" s="99"/>
      <c r="BY101" s="99"/>
      <c r="BZ101" s="99"/>
      <c r="CA101" s="99"/>
      <c r="CB101" s="99"/>
      <c r="CC101" s="90"/>
      <c r="CD101" s="90"/>
      <c r="CE101" s="90"/>
      <c r="CF101" s="90"/>
    </row>
    <row r="102" spans="1:84">
      <c r="A102" s="97"/>
      <c r="B102" s="97"/>
      <c r="C102" s="97"/>
      <c r="D102" s="97"/>
      <c r="E102" s="97"/>
      <c r="F102" s="97"/>
      <c r="G102" s="97"/>
      <c r="H102" s="96"/>
      <c r="I102" s="96"/>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549"/>
      <c r="AI102" s="549"/>
      <c r="AJ102" s="549"/>
      <c r="AK102" s="549"/>
      <c r="AL102" s="549"/>
      <c r="AM102" s="549"/>
      <c r="AN102" s="549"/>
      <c r="AO102" s="869"/>
      <c r="AP102" s="869"/>
      <c r="AQ102" s="869"/>
      <c r="AR102" s="869"/>
      <c r="AS102" s="869"/>
      <c r="AT102" s="869"/>
      <c r="AU102" s="869"/>
      <c r="AV102" s="869" t="s">
        <v>142</v>
      </c>
      <c r="AW102" s="869">
        <v>0.4</v>
      </c>
      <c r="AX102" s="854" t="s">
        <v>143</v>
      </c>
      <c r="AY102" s="854" t="s">
        <v>46</v>
      </c>
      <c r="AZ102" s="859">
        <f>IF(D5="&lt;1000",VLOOKUP(BG95,BF101:BI104,2),IF(D5="1001-1500",VLOOKUP(BG95,BF101:BI104,3),IF(D5="&gt;1500",VLOOKUP(BG95,BF101:BI104,4),0)))</f>
        <v>3.2829999999999999</v>
      </c>
      <c r="BA102" s="854">
        <v>0</v>
      </c>
      <c r="BB102" s="854" t="s">
        <v>37</v>
      </c>
      <c r="BC102" s="854" t="s">
        <v>37</v>
      </c>
      <c r="BD102" s="854" t="s">
        <v>91</v>
      </c>
      <c r="BE102" s="854" t="s">
        <v>14</v>
      </c>
      <c r="BF102" s="861" t="s">
        <v>17</v>
      </c>
      <c r="BG102" s="865">
        <v>3.1269999999999998</v>
      </c>
      <c r="BH102" s="861">
        <v>3.2829999999999999</v>
      </c>
      <c r="BI102" s="865">
        <v>3.44</v>
      </c>
      <c r="BJ102" s="865"/>
      <c r="BK102" s="854"/>
      <c r="BL102" s="854"/>
      <c r="BM102" s="863"/>
      <c r="BN102" s="863" t="s">
        <v>17</v>
      </c>
      <c r="BO102" s="863"/>
      <c r="BP102" s="863"/>
      <c r="BQ102" s="863"/>
      <c r="BR102" s="864"/>
      <c r="BS102" s="539"/>
      <c r="BT102" s="108"/>
      <c r="BU102" s="99"/>
      <c r="BV102" s="99"/>
      <c r="BW102" s="99"/>
      <c r="BX102" s="99"/>
      <c r="BY102" s="99"/>
      <c r="BZ102" s="99"/>
      <c r="CA102" s="99"/>
      <c r="CB102" s="99"/>
      <c r="CC102" s="90"/>
      <c r="CD102" s="90"/>
      <c r="CE102" s="90"/>
      <c r="CF102" s="90"/>
    </row>
    <row r="103" spans="1:84">
      <c r="A103" s="97"/>
      <c r="B103" s="97"/>
      <c r="C103" s="97"/>
      <c r="D103" s="97"/>
      <c r="E103" s="97"/>
      <c r="F103" s="97"/>
      <c r="G103" s="97"/>
      <c r="H103" s="96"/>
      <c r="I103" s="96"/>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549"/>
      <c r="AI103" s="549"/>
      <c r="AJ103" s="549"/>
      <c r="AK103" s="549"/>
      <c r="AL103" s="549"/>
      <c r="AM103" s="549"/>
      <c r="AN103" s="549"/>
      <c r="AO103" s="869"/>
      <c r="AP103" s="1034" t="s">
        <v>38</v>
      </c>
      <c r="AQ103" s="1034"/>
      <c r="AR103" s="869"/>
      <c r="AS103" s="869"/>
      <c r="AT103" s="869" t="s">
        <v>507</v>
      </c>
      <c r="AU103" s="869">
        <f>IF(B5=AX102,AW102,IF(B5=AX103,AW103,IF(B5=AX104,AW104,IF(B5=AX105,AW105,IF(B5=AX106,AW106,IF(B5=AX107,AW107,IF(B5=AX108,AW108,0)))))))</f>
        <v>0.5</v>
      </c>
      <c r="AV103" s="869"/>
      <c r="AW103" s="869">
        <v>0.5</v>
      </c>
      <c r="AX103" s="854" t="s">
        <v>336</v>
      </c>
      <c r="AY103" s="854" t="s">
        <v>48</v>
      </c>
      <c r="AZ103" s="859">
        <f>IF($D$5="&lt;1000",VLOOKUP($BG$95,$BF$106:$BI$109,2),IF($D$5="1001-1500",VLOOKUP($BG$95,$BF$106:$BI$109,3),IF($D$5="&gt;1500",VLOOKUP($BG$95,$BF$106:$BI$109,4),0)))</f>
        <v>3.1909999999999998</v>
      </c>
      <c r="BA103" s="854">
        <v>20</v>
      </c>
      <c r="BB103" s="854" t="s">
        <v>49</v>
      </c>
      <c r="BC103" s="854" t="s">
        <v>49</v>
      </c>
      <c r="BD103" s="854" t="s">
        <v>93</v>
      </c>
      <c r="BE103" s="854" t="s">
        <v>50</v>
      </c>
      <c r="BF103" s="861" t="s">
        <v>51</v>
      </c>
      <c r="BG103" s="865">
        <v>3.2829999999999999</v>
      </c>
      <c r="BH103" s="861">
        <v>3.4470000000000001</v>
      </c>
      <c r="BI103" s="865">
        <v>3.6120000000000001</v>
      </c>
      <c r="BJ103" s="865"/>
      <c r="BK103" s="854"/>
      <c r="BL103" s="854"/>
      <c r="BM103" s="863"/>
      <c r="BN103" s="863" t="s">
        <v>51</v>
      </c>
      <c r="BO103" s="863"/>
      <c r="BP103" s="863"/>
      <c r="BQ103" s="863"/>
      <c r="BR103" s="864"/>
      <c r="BS103" s="539"/>
      <c r="BT103" s="108"/>
      <c r="BU103" s="99"/>
      <c r="BV103" s="99"/>
      <c r="BW103" s="99"/>
      <c r="BX103" s="99"/>
      <c r="BY103" s="99"/>
      <c r="BZ103" s="99"/>
      <c r="CA103" s="99"/>
      <c r="CB103" s="99"/>
      <c r="CC103" s="90"/>
      <c r="CD103" s="90"/>
      <c r="CE103" s="90"/>
      <c r="CF103" s="90"/>
    </row>
    <row r="104" spans="1:84">
      <c r="A104" s="96"/>
      <c r="B104" s="96"/>
      <c r="C104" s="96"/>
      <c r="D104" s="96"/>
      <c r="E104" s="96"/>
      <c r="F104" s="96"/>
      <c r="G104" s="97"/>
      <c r="H104" s="96"/>
      <c r="I104" s="96"/>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549"/>
      <c r="AI104" s="549"/>
      <c r="AJ104" s="549"/>
      <c r="AK104" s="549"/>
      <c r="AL104" s="549"/>
      <c r="AM104" s="549"/>
      <c r="AN104" s="549"/>
      <c r="AO104" s="869"/>
      <c r="AP104" s="859" t="s">
        <v>46</v>
      </c>
      <c r="AQ104" s="859">
        <f>IF(AX97=0,AZ102,IF(D5="&lt;1000",VLOOKUP(AX97,BF101:BI104,2),IF(D5="1001-1500",VLOOKUP(AX97,BF101:BI104,3),IF(D5="&gt;1500",VLOOKUP(AX97,BF101:BI104,4),0))))</f>
        <v>3.2829999999999999</v>
      </c>
      <c r="AR104" s="869"/>
      <c r="AS104" s="869"/>
      <c r="AT104" s="869" t="s">
        <v>508</v>
      </c>
      <c r="AU104" s="869">
        <f>IF(B5=AX102,AW103,IF(B5=AX103,AW104,IF(B5=AX104,AW105,IF(B5=AX105,AW106,IF(B5=AX106,AW107,IF(B5=AX107,AW108,IF(B5=AX108,AW109,0)))))))</f>
        <v>0.65</v>
      </c>
      <c r="AV104" s="869"/>
      <c r="AW104" s="869">
        <v>0.65</v>
      </c>
      <c r="AX104" s="854" t="s">
        <v>337</v>
      </c>
      <c r="AY104" s="1022"/>
      <c r="AZ104" s="1022"/>
      <c r="BA104" s="854">
        <v>25</v>
      </c>
      <c r="BB104" s="854" t="s">
        <v>52</v>
      </c>
      <c r="BC104" s="854"/>
      <c r="BD104" s="854" t="s">
        <v>94</v>
      </c>
      <c r="BE104" s="854"/>
      <c r="BF104" s="861">
        <v>10.1</v>
      </c>
      <c r="BG104" s="865">
        <v>3.3620000000000001</v>
      </c>
      <c r="BH104" s="861">
        <v>3.5289999999999999</v>
      </c>
      <c r="BI104" s="865">
        <v>3.698</v>
      </c>
      <c r="BJ104" s="865"/>
      <c r="BK104" s="854"/>
      <c r="BL104" s="854"/>
      <c r="BM104" s="863"/>
      <c r="BN104" s="863" t="s">
        <v>53</v>
      </c>
      <c r="BO104" s="863"/>
      <c r="BP104" s="863"/>
      <c r="BQ104" s="863"/>
      <c r="BR104" s="864"/>
      <c r="BS104" s="539"/>
      <c r="BT104" s="108"/>
      <c r="BU104" s="99"/>
      <c r="BV104" s="99"/>
      <c r="BW104" s="99"/>
      <c r="BX104" s="99"/>
      <c r="BY104" s="99"/>
      <c r="BZ104" s="99"/>
      <c r="CA104" s="99"/>
      <c r="CB104" s="99"/>
      <c r="CC104" s="90"/>
      <c r="CD104" s="90"/>
      <c r="CE104" s="90"/>
      <c r="CF104" s="90"/>
    </row>
    <row r="105" spans="1:84">
      <c r="A105" s="96"/>
      <c r="B105" s="96"/>
      <c r="C105" s="96"/>
      <c r="D105" s="96"/>
      <c r="E105" s="96"/>
      <c r="F105" s="96"/>
      <c r="G105" s="97"/>
      <c r="H105" s="96"/>
      <c r="I105" s="96"/>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549"/>
      <c r="AI105" s="549"/>
      <c r="AJ105" s="549"/>
      <c r="AK105" s="549"/>
      <c r="AL105" s="549"/>
      <c r="AM105" s="549"/>
      <c r="AN105" s="549"/>
      <c r="AO105" s="869"/>
      <c r="AP105" s="859" t="s">
        <v>48</v>
      </c>
      <c r="AQ105" s="859">
        <f>IF(AX97=0,AZ103,IF($D$5="&lt;1000",VLOOKUP(AX97,BF107:BI110,2),IF($D$5="1001-1500",VLOOKUP(AX97,BF107:BI110,3),IF($D$5="&gt;1500",VLOOKUP(AX97,BF107:BI110,4),0))))</f>
        <v>3.1909999999999998</v>
      </c>
      <c r="AR105" s="869"/>
      <c r="AS105" s="869"/>
      <c r="AT105" s="869" t="s">
        <v>509</v>
      </c>
      <c r="AU105" s="870">
        <f>IF(B5=AX102,AW104,IF(B5=AX103,AW105,IF(B5=AX104,AW106,IF(B5=AX105,AW107,IF(B5=AX106,AW108,IF(B5=AX107,AW109,IF(B5=AX108,AW110,0)))))))</f>
        <v>0.85</v>
      </c>
      <c r="AV105" s="870"/>
      <c r="AW105" s="870">
        <v>0.85</v>
      </c>
      <c r="AX105" s="854" t="s">
        <v>338</v>
      </c>
      <c r="AY105" s="854"/>
      <c r="AZ105" s="854"/>
      <c r="BA105" s="854">
        <v>35</v>
      </c>
      <c r="BB105" s="854"/>
      <c r="BC105" s="854"/>
      <c r="BD105" s="854"/>
      <c r="BE105" s="854"/>
      <c r="BF105" s="861"/>
      <c r="BG105" s="861"/>
      <c r="BH105" s="865"/>
      <c r="BI105" s="865"/>
      <c r="BJ105" s="865"/>
      <c r="BK105" s="854"/>
      <c r="BL105" s="854"/>
      <c r="BM105" s="863"/>
      <c r="BN105" s="863"/>
      <c r="BO105" s="863"/>
      <c r="BP105" s="863"/>
      <c r="BQ105" s="863"/>
      <c r="BR105" s="864"/>
      <c r="BS105" s="539"/>
      <c r="BT105" s="108"/>
      <c r="BU105" s="99"/>
      <c r="BV105" s="99"/>
      <c r="BW105" s="99"/>
      <c r="BX105" s="99"/>
      <c r="BY105" s="99"/>
      <c r="BZ105" s="99"/>
      <c r="CA105" s="99"/>
      <c r="CB105" s="99"/>
      <c r="CC105" s="90"/>
      <c r="CD105" s="90"/>
      <c r="CE105" s="90"/>
      <c r="CF105" s="90"/>
    </row>
    <row r="106" spans="1:84">
      <c r="A106" s="96"/>
      <c r="B106" s="96"/>
      <c r="C106" s="96"/>
      <c r="D106" s="96"/>
      <c r="E106" s="96"/>
      <c r="F106" s="96"/>
      <c r="G106" s="97"/>
      <c r="H106" s="96"/>
      <c r="I106" s="96"/>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549"/>
      <c r="AI106" s="549"/>
      <c r="AJ106" s="549"/>
      <c r="AK106" s="549"/>
      <c r="AL106" s="549"/>
      <c r="AM106" s="549"/>
      <c r="AN106" s="549"/>
      <c r="AO106" s="869"/>
      <c r="AP106" s="869"/>
      <c r="AQ106" s="869"/>
      <c r="AR106" s="869"/>
      <c r="AS106" s="869"/>
      <c r="AT106" s="869" t="s">
        <v>510</v>
      </c>
      <c r="AU106" s="870">
        <f>IF(B5=AX102,AW105,IF(B5=AX103,AW106,IF(B5=AX104,AW107,IF(B5=AX105,AW108,IF(B5=AX106,AW109,IF(B5=AX107,AW110,IF(B5=AX108,AW110,0)))))))</f>
        <v>1.05</v>
      </c>
      <c r="AV106" s="870"/>
      <c r="AW106" s="870">
        <v>1.05</v>
      </c>
      <c r="AX106" s="854" t="s">
        <v>339</v>
      </c>
      <c r="AY106" s="854"/>
      <c r="AZ106" s="854"/>
      <c r="BA106" s="854">
        <v>45</v>
      </c>
      <c r="BB106" s="854"/>
      <c r="BC106" s="854"/>
      <c r="BD106" s="854"/>
      <c r="BE106" s="854"/>
      <c r="BF106" s="1023" t="s">
        <v>49</v>
      </c>
      <c r="BG106" s="1023"/>
      <c r="BH106" s="1023"/>
      <c r="BI106" s="1023"/>
      <c r="BJ106" s="866"/>
      <c r="BK106" s="854"/>
      <c r="BL106" s="854"/>
      <c r="BM106" s="863"/>
      <c r="BN106" s="863"/>
      <c r="BO106" s="863"/>
      <c r="BP106" s="863"/>
      <c r="BQ106" s="863"/>
      <c r="BR106" s="864"/>
      <c r="BS106" s="539"/>
      <c r="BT106" s="108"/>
      <c r="BU106" s="99"/>
      <c r="BV106" s="99"/>
      <c r="BW106" s="99"/>
      <c r="BX106" s="99"/>
      <c r="BY106" s="99"/>
      <c r="BZ106" s="99"/>
      <c r="CA106" s="99"/>
      <c r="CB106" s="99"/>
      <c r="CC106" s="90"/>
      <c r="CD106" s="90"/>
      <c r="CE106" s="90"/>
      <c r="CF106" s="90"/>
    </row>
    <row r="107" spans="1:84">
      <c r="A107" s="96"/>
      <c r="B107" s="96"/>
      <c r="C107" s="96"/>
      <c r="D107" s="96"/>
      <c r="E107" s="96"/>
      <c r="F107" s="96"/>
      <c r="G107" s="97"/>
      <c r="H107" s="96"/>
      <c r="I107" s="96"/>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549"/>
      <c r="AI107" s="549"/>
      <c r="AJ107" s="549"/>
      <c r="AK107" s="549"/>
      <c r="AL107" s="549"/>
      <c r="AM107" s="549"/>
      <c r="AN107" s="549"/>
      <c r="AO107" s="869"/>
      <c r="AP107" s="869" t="s">
        <v>554</v>
      </c>
      <c r="AQ107" s="869">
        <f>IF(B4="Zone A",AQ104,AQ105)</f>
        <v>3.2829999999999999</v>
      </c>
      <c r="AR107" s="869"/>
      <c r="AS107" s="869"/>
      <c r="AT107" s="869" t="s">
        <v>511</v>
      </c>
      <c r="AU107" s="870">
        <f>IF(B5=AX102,AW106,IF(B5=AX103,AW107,IF(B5=AX104,AW108,IF(B5=AX105,AW109,IF(B5=AX106,AW110,IF(B5=AX107,AW110,IF(B5=AX108,AW110,0)))))))</f>
        <v>1.25</v>
      </c>
      <c r="AV107" s="870"/>
      <c r="AW107" s="870">
        <v>1.25</v>
      </c>
      <c r="AX107" s="854" t="s">
        <v>51</v>
      </c>
      <c r="AY107" s="854"/>
      <c r="AZ107" s="854"/>
      <c r="BA107" s="854">
        <v>50</v>
      </c>
      <c r="BB107" s="854"/>
      <c r="BC107" s="854"/>
      <c r="BD107" s="854"/>
      <c r="BE107" s="854"/>
      <c r="BF107" s="861"/>
      <c r="BG107" s="862" t="s">
        <v>91</v>
      </c>
      <c r="BH107" s="861" t="s">
        <v>93</v>
      </c>
      <c r="BI107" s="861" t="s">
        <v>94</v>
      </c>
      <c r="BJ107" s="861"/>
      <c r="BK107" s="854"/>
      <c r="BL107" s="854"/>
      <c r="BM107" s="863"/>
      <c r="BN107" s="863"/>
      <c r="BO107" s="863"/>
      <c r="BP107" s="867"/>
      <c r="BQ107" s="863"/>
      <c r="BR107" s="864"/>
      <c r="BS107" s="539"/>
      <c r="BT107" s="108"/>
      <c r="BU107" s="99"/>
      <c r="BV107" s="99"/>
      <c r="BW107" s="99"/>
      <c r="BX107" s="99"/>
      <c r="BY107" s="99"/>
      <c r="BZ107" s="99"/>
      <c r="CA107" s="99"/>
      <c r="CB107" s="99"/>
      <c r="CC107" s="90"/>
      <c r="CD107" s="90"/>
      <c r="CE107" s="90"/>
      <c r="CF107" s="90"/>
    </row>
    <row r="108" spans="1:84">
      <c r="A108" s="96"/>
      <c r="B108" s="96"/>
      <c r="C108" s="96"/>
      <c r="D108" s="96"/>
      <c r="E108" s="96"/>
      <c r="F108" s="96"/>
      <c r="G108" s="97"/>
      <c r="H108" s="96"/>
      <c r="I108" s="96"/>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549"/>
      <c r="AI108" s="549"/>
      <c r="AJ108" s="549"/>
      <c r="AK108" s="549"/>
      <c r="AL108" s="549"/>
      <c r="AM108" s="549"/>
      <c r="AN108" s="549"/>
      <c r="AO108" s="869"/>
      <c r="AP108" s="869" t="s">
        <v>620</v>
      </c>
      <c r="AQ108" s="869">
        <f>IF(B4="Zone A",AZ102,AZ103)</f>
        <v>3.2829999999999999</v>
      </c>
      <c r="AR108" s="869"/>
      <c r="AS108" s="869"/>
      <c r="AT108" s="869"/>
      <c r="AU108" s="870"/>
      <c r="AV108" s="870"/>
      <c r="AW108" s="870">
        <v>1.45</v>
      </c>
      <c r="AX108" s="854" t="s">
        <v>53</v>
      </c>
      <c r="AY108" s="854"/>
      <c r="AZ108" s="854"/>
      <c r="BA108" s="854"/>
      <c r="BB108" s="854"/>
      <c r="BC108" s="854"/>
      <c r="BD108" s="854"/>
      <c r="BE108" s="854"/>
      <c r="BF108" s="861" t="s">
        <v>17</v>
      </c>
      <c r="BG108" s="865">
        <v>3.0390000000000001</v>
      </c>
      <c r="BH108" s="865">
        <v>3.1909999999999998</v>
      </c>
      <c r="BI108" s="865">
        <v>3.343</v>
      </c>
      <c r="BJ108" s="865"/>
      <c r="BK108" s="854"/>
      <c r="BL108" s="854"/>
      <c r="BM108" s="863"/>
      <c r="BN108" s="868"/>
      <c r="BO108" s="868"/>
      <c r="BP108" s="868"/>
      <c r="BQ108" s="868"/>
      <c r="BR108" s="864"/>
      <c r="BS108" s="539"/>
      <c r="BT108" s="108"/>
      <c r="BU108" s="99"/>
      <c r="BV108" s="99"/>
      <c r="BW108" s="99"/>
      <c r="BX108" s="99"/>
      <c r="BY108" s="99"/>
      <c r="BZ108" s="99"/>
      <c r="CA108" s="99"/>
      <c r="CB108" s="99"/>
      <c r="CC108" s="90"/>
      <c r="CD108" s="90"/>
      <c r="CE108" s="90"/>
      <c r="CF108" s="90"/>
    </row>
    <row r="109" spans="1:84">
      <c r="A109" s="96"/>
      <c r="B109" s="96"/>
      <c r="C109" s="96"/>
      <c r="D109" s="96"/>
      <c r="E109" s="96"/>
      <c r="F109" s="96"/>
      <c r="G109" s="97"/>
      <c r="H109" s="96"/>
      <c r="I109" s="96"/>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549"/>
      <c r="AI109" s="549"/>
      <c r="AJ109" s="549"/>
      <c r="AK109" s="549"/>
      <c r="AL109" s="549"/>
      <c r="AM109" s="549"/>
      <c r="AN109" s="549"/>
      <c r="AO109" s="869"/>
      <c r="AP109" s="869"/>
      <c r="AQ109" s="869"/>
      <c r="AR109" s="869"/>
      <c r="AS109" s="869"/>
      <c r="AT109" s="869"/>
      <c r="AU109" s="869" t="s">
        <v>139</v>
      </c>
      <c r="AV109" s="869"/>
      <c r="AW109" s="869"/>
      <c r="AX109" s="854"/>
      <c r="AY109" s="854"/>
      <c r="AZ109" s="854"/>
      <c r="BA109" s="854"/>
      <c r="BB109" s="854"/>
      <c r="BC109" s="854"/>
      <c r="BD109" s="854"/>
      <c r="BE109" s="854"/>
      <c r="BF109" s="861" t="s">
        <v>51</v>
      </c>
      <c r="BG109" s="865">
        <v>3.1909999999999998</v>
      </c>
      <c r="BH109" s="865">
        <v>3.351</v>
      </c>
      <c r="BI109" s="865">
        <v>3.51</v>
      </c>
      <c r="BJ109" s="865"/>
      <c r="BK109" s="854"/>
      <c r="BL109" s="854"/>
      <c r="BM109" s="863"/>
      <c r="BN109" s="868"/>
      <c r="BO109" s="868"/>
      <c r="BP109" s="868"/>
      <c r="BQ109" s="868"/>
      <c r="BR109" s="864"/>
      <c r="BS109" s="539"/>
      <c r="BT109" s="108"/>
      <c r="BU109" s="99"/>
      <c r="BV109" s="99"/>
      <c r="BW109" s="99"/>
      <c r="BX109" s="99"/>
      <c r="BY109" s="99"/>
      <c r="BZ109" s="99"/>
      <c r="CA109" s="99"/>
      <c r="CB109" s="99"/>
      <c r="CC109" s="90"/>
      <c r="CD109" s="90"/>
      <c r="CE109" s="90"/>
      <c r="CF109" s="90"/>
    </row>
    <row r="110" spans="1:84">
      <c r="A110" s="96"/>
      <c r="B110" s="96"/>
      <c r="C110" s="96"/>
      <c r="D110" s="96"/>
      <c r="E110" s="96"/>
      <c r="F110" s="96"/>
      <c r="G110" s="97"/>
      <c r="H110" s="96"/>
      <c r="I110" s="96"/>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549"/>
      <c r="AI110" s="549"/>
      <c r="AJ110" s="549"/>
      <c r="AK110" s="549"/>
      <c r="AL110" s="549"/>
      <c r="AM110" s="549"/>
      <c r="AN110" s="549"/>
      <c r="AO110" s="869"/>
      <c r="AP110" s="869"/>
      <c r="AQ110" s="869"/>
      <c r="AR110" s="869"/>
      <c r="AS110" s="869"/>
      <c r="AT110" s="869" t="s">
        <v>507</v>
      </c>
      <c r="AU110" s="869">
        <f>IF(B5=AX102,AW111,IF(B5=AX103,AW112,IF(B5=AX104,AW113,IF(B5=AX105,AW114,IF(B5=AX106,AW115,IF(B5=AX107,AW116,IF(B5=AX108,AW117,0)))))))</f>
        <v>0.55000000000000004</v>
      </c>
      <c r="AV110" s="869" t="s">
        <v>144</v>
      </c>
      <c r="AW110" s="869"/>
      <c r="AX110" s="854"/>
      <c r="AY110" s="854"/>
      <c r="AZ110" s="854" t="s">
        <v>477</v>
      </c>
      <c r="BA110" s="854"/>
      <c r="BB110" s="854"/>
      <c r="BC110" s="854"/>
      <c r="BD110" s="854"/>
      <c r="BE110" s="854"/>
      <c r="BF110" s="861">
        <v>10.1</v>
      </c>
      <c r="BG110" s="865">
        <v>3.2669999999999999</v>
      </c>
      <c r="BH110" s="865">
        <v>3.43</v>
      </c>
      <c r="BI110" s="865">
        <v>3.5939999999999999</v>
      </c>
      <c r="BJ110" s="865"/>
      <c r="BK110" s="854"/>
      <c r="BL110" s="854"/>
      <c r="BM110" s="863"/>
      <c r="BN110" s="868"/>
      <c r="BO110" s="868"/>
      <c r="BP110" s="868"/>
      <c r="BQ110" s="868"/>
      <c r="BR110" s="864"/>
      <c r="BS110" s="539"/>
      <c r="BT110" s="108"/>
      <c r="BU110" s="99"/>
      <c r="BV110" s="99"/>
      <c r="BW110" s="99"/>
      <c r="BX110" s="99"/>
      <c r="BY110" s="99"/>
      <c r="BZ110" s="99"/>
      <c r="CA110" s="99"/>
      <c r="CB110" s="99"/>
      <c r="CC110" s="90"/>
      <c r="CD110" s="90"/>
      <c r="CE110" s="90"/>
      <c r="CF110" s="90"/>
    </row>
    <row r="111" spans="1:84">
      <c r="A111" s="96"/>
      <c r="B111" s="96"/>
      <c r="C111" s="96"/>
      <c r="D111" s="96"/>
      <c r="E111" s="96"/>
      <c r="F111" s="96"/>
      <c r="G111" s="97"/>
      <c r="H111" s="96"/>
      <c r="I111" s="96"/>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549"/>
      <c r="AI111" s="549"/>
      <c r="AJ111" s="549"/>
      <c r="AK111" s="549"/>
      <c r="AL111" s="549"/>
      <c r="AM111" s="549"/>
      <c r="AN111" s="549"/>
      <c r="AO111" s="869"/>
      <c r="AP111" s="869"/>
      <c r="AQ111" s="869"/>
      <c r="AR111" s="869"/>
      <c r="AS111" s="869"/>
      <c r="AT111" s="869" t="s">
        <v>508</v>
      </c>
      <c r="AU111" s="870">
        <f>IF(B5=AX102,AW112,IF(B5=AX103,AW113,IF(B5=AX104,AW114,IF(B5=AX105,AW115,IF(B5=AX106,AW116,IF(B5=AX107,AW117,IF(B5=AX108,AW117,0)))))))</f>
        <v>0.7</v>
      </c>
      <c r="AV111" s="870"/>
      <c r="AW111" s="869">
        <v>0.45</v>
      </c>
      <c r="AX111" s="854"/>
      <c r="AY111" s="854"/>
      <c r="AZ111" s="854" t="str">
        <f>IF(B5=AX102,"1",IF(B5=AX103,"2",IF(B5=AX104,"3",IF(B5=AX105,"4",IF(B5=AX106,"5",IF(B5=AX107,"6",IF(B5=AX108,"7",0)))))))</f>
        <v>2</v>
      </c>
      <c r="BA111" s="854"/>
      <c r="BB111" s="854"/>
      <c r="BC111" s="854"/>
      <c r="BD111" s="854"/>
      <c r="BE111" s="854"/>
      <c r="BF111" s="861"/>
      <c r="BG111" s="861"/>
      <c r="BH111" s="865"/>
      <c r="BI111" s="865"/>
      <c r="BJ111" s="865"/>
      <c r="BK111" s="854"/>
      <c r="BL111" s="854"/>
      <c r="BM111" s="863"/>
      <c r="BN111" s="863"/>
      <c r="BO111" s="863"/>
      <c r="BP111" s="863"/>
      <c r="BQ111" s="863"/>
      <c r="BR111" s="864"/>
      <c r="BS111" s="539"/>
      <c r="BT111" s="108"/>
      <c r="BU111" s="99"/>
      <c r="BV111" s="99"/>
      <c r="BW111" s="99"/>
      <c r="BX111" s="99"/>
      <c r="BY111" s="99"/>
      <c r="BZ111" s="99"/>
      <c r="CA111" s="99"/>
      <c r="CB111" s="99"/>
      <c r="CC111" s="90"/>
      <c r="CD111" s="90"/>
      <c r="CE111" s="90"/>
      <c r="CF111" s="90"/>
    </row>
    <row r="112" spans="1:84">
      <c r="A112" s="96"/>
      <c r="B112" s="96"/>
      <c r="C112" s="96"/>
      <c r="D112" s="96"/>
      <c r="E112" s="96"/>
      <c r="F112" s="96"/>
      <c r="G112" s="97"/>
      <c r="H112" s="96"/>
      <c r="I112" s="96"/>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549"/>
      <c r="AI112" s="549"/>
      <c r="AJ112" s="549"/>
      <c r="AK112" s="549"/>
      <c r="AL112" s="549"/>
      <c r="AM112" s="549"/>
      <c r="AN112" s="549"/>
      <c r="AO112" s="869"/>
      <c r="AP112" s="869"/>
      <c r="AQ112" s="869"/>
      <c r="AR112" s="869"/>
      <c r="AS112" s="869"/>
      <c r="AT112" s="869" t="s">
        <v>509</v>
      </c>
      <c r="AU112" s="869">
        <f>IF(B5=AX102,AW113,IF(B5=AX103,AW114,IF(B5=AX104,AW115,IF(B5=AX105,AW116,IF(B5=AX106,AW117,IF(B5=AX107,AW118,IF(B5=AX108,AW117,0)))))))</f>
        <v>0.9</v>
      </c>
      <c r="AV112" s="869"/>
      <c r="AW112" s="869">
        <v>0.55000000000000004</v>
      </c>
      <c r="AX112" s="854"/>
      <c r="AY112" s="854"/>
      <c r="AZ112" s="854"/>
      <c r="BA112" s="854"/>
      <c r="BB112" s="854"/>
      <c r="BC112" s="854"/>
      <c r="BD112" s="854"/>
      <c r="BE112" s="854"/>
      <c r="BF112" s="1025" t="s">
        <v>478</v>
      </c>
      <c r="BG112" s="1025"/>
      <c r="BH112" s="854"/>
      <c r="BI112" s="854" t="s">
        <v>143</v>
      </c>
      <c r="BJ112" s="854">
        <v>0.14000000000000001</v>
      </c>
      <c r="BK112" s="854"/>
      <c r="BL112" s="854"/>
      <c r="BM112" s="863"/>
      <c r="BN112" s="863"/>
      <c r="BO112" s="863"/>
      <c r="BP112" s="863"/>
      <c r="BQ112" s="863"/>
      <c r="BR112" s="864"/>
      <c r="BS112" s="539"/>
      <c r="BT112" s="108"/>
      <c r="BU112" s="99"/>
      <c r="BV112" s="99"/>
      <c r="BW112" s="99"/>
      <c r="BX112" s="99"/>
      <c r="BY112" s="99"/>
      <c r="BZ112" s="99"/>
      <c r="CA112" s="99"/>
      <c r="CB112" s="99"/>
      <c r="CC112" s="90"/>
      <c r="CD112" s="90"/>
      <c r="CE112" s="90"/>
      <c r="CF112" s="90"/>
    </row>
    <row r="113" spans="1:84">
      <c r="A113" s="96"/>
      <c r="B113" s="96"/>
      <c r="C113" s="96"/>
      <c r="D113" s="96"/>
      <c r="E113" s="96"/>
      <c r="F113" s="96"/>
      <c r="G113" s="97"/>
      <c r="H113" s="96"/>
      <c r="I113" s="96"/>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549"/>
      <c r="AI113" s="549"/>
      <c r="AJ113" s="549"/>
      <c r="AK113" s="549"/>
      <c r="AL113" s="549"/>
      <c r="AM113" s="549"/>
      <c r="AN113" s="549"/>
      <c r="AO113" s="869"/>
      <c r="AP113" s="869"/>
      <c r="AQ113" s="869"/>
      <c r="AR113" s="869"/>
      <c r="AS113" s="869"/>
      <c r="AT113" s="869" t="s">
        <v>510</v>
      </c>
      <c r="AU113" s="869">
        <f>IF(B5=AX102,AW114,IF(B5=AX103,AW115,IF(B5=AX104,AW116,IF(B5=AX105,AW117,IF(B5=AX106,AW117,IF(B5=AX107,AW118,IF(B5=AX108,AW117,0)))))))</f>
        <v>1.1000000000000001</v>
      </c>
      <c r="AV113" s="869"/>
      <c r="AW113" s="869">
        <v>0.7</v>
      </c>
      <c r="AX113" s="854" t="str">
        <f>IF(F9="Package","PC_Age_Pack",IF(F9="Enhancement","PC_EnhAge","PC_LT"))</f>
        <v>PC_EnhAge</v>
      </c>
      <c r="AY113" s="854"/>
      <c r="AZ113" s="1022" t="s">
        <v>478</v>
      </c>
      <c r="BA113" s="1022"/>
      <c r="BB113" s="854"/>
      <c r="BC113" s="854"/>
      <c r="BD113" s="854"/>
      <c r="BE113" s="854"/>
      <c r="BF113" s="854">
        <v>0</v>
      </c>
      <c r="BG113" s="854">
        <v>8.5</v>
      </c>
      <c r="BH113" s="854"/>
      <c r="BI113" s="854" t="s">
        <v>336</v>
      </c>
      <c r="BJ113" s="854">
        <v>0.16</v>
      </c>
      <c r="BK113" s="854"/>
      <c r="BL113" s="854"/>
      <c r="BM113" s="863"/>
      <c r="BN113" s="863"/>
      <c r="BO113" s="863"/>
      <c r="BP113" s="863"/>
      <c r="BQ113" s="863"/>
      <c r="BR113" s="864"/>
      <c r="BS113" s="539"/>
      <c r="BT113" s="108"/>
      <c r="BU113" s="99"/>
      <c r="BV113" s="99"/>
      <c r="BW113" s="99"/>
      <c r="BX113" s="99"/>
      <c r="BY113" s="99"/>
      <c r="BZ113" s="99"/>
      <c r="CA113" s="99"/>
      <c r="CB113" s="99"/>
      <c r="CC113" s="90"/>
      <c r="CD113" s="90"/>
      <c r="CE113" s="90"/>
      <c r="CF113" s="90"/>
    </row>
    <row r="114" spans="1:84">
      <c r="A114" s="96"/>
      <c r="B114" s="96"/>
      <c r="C114" s="96"/>
      <c r="D114" s="96"/>
      <c r="E114" s="96"/>
      <c r="F114" s="96"/>
      <c r="G114" s="97"/>
      <c r="H114" s="96"/>
      <c r="I114" s="96"/>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549"/>
      <c r="AI114" s="549"/>
      <c r="AJ114" s="549"/>
      <c r="AK114" s="549"/>
      <c r="AL114" s="549"/>
      <c r="AM114" s="549"/>
      <c r="AN114" s="549"/>
      <c r="AO114" s="869"/>
      <c r="AP114" s="869"/>
      <c r="AQ114" s="869"/>
      <c r="AR114" s="869"/>
      <c r="AS114" s="869"/>
      <c r="AT114" s="869" t="s">
        <v>511</v>
      </c>
      <c r="AU114" s="869">
        <f>IF(B5=AX102,AW115,IF(B5=AX103,AW116,IF(B5=AX104,AW117,IF(B5=AX105,AW117,IF(B5=AX106,AW117,IF(B5=AX107,AW118,IF(B5=AX108,AW117,0)))))))</f>
        <v>1.3</v>
      </c>
      <c r="AV114" s="869"/>
      <c r="AW114" s="869">
        <v>0.9</v>
      </c>
      <c r="AX114" s="854"/>
      <c r="AY114" s="854"/>
      <c r="AZ114" s="854" t="s">
        <v>479</v>
      </c>
      <c r="BA114" s="854" t="s">
        <v>480</v>
      </c>
      <c r="BB114" s="854"/>
      <c r="BC114" s="854"/>
      <c r="BD114" s="854"/>
      <c r="BE114" s="854"/>
      <c r="BF114" s="854">
        <v>20</v>
      </c>
      <c r="BG114" s="854">
        <v>10.63</v>
      </c>
      <c r="BH114" s="854"/>
      <c r="BI114" s="854" t="s">
        <v>337</v>
      </c>
      <c r="BJ114" s="854">
        <v>0.18</v>
      </c>
      <c r="BK114" s="854"/>
      <c r="BL114" s="854"/>
      <c r="BM114" s="863"/>
      <c r="BN114" s="863"/>
      <c r="BO114" s="863"/>
      <c r="BP114" s="863"/>
      <c r="BQ114" s="863"/>
      <c r="BR114" s="864"/>
      <c r="BS114" s="539"/>
      <c r="BT114" s="108"/>
      <c r="BU114" s="99"/>
      <c r="BV114" s="99"/>
      <c r="BW114" s="99"/>
      <c r="BX114" s="99"/>
      <c r="BY114" s="99"/>
      <c r="BZ114" s="99"/>
      <c r="CA114" s="99"/>
      <c r="CB114" s="99"/>
      <c r="CC114" s="90"/>
      <c r="CD114" s="90"/>
      <c r="CE114" s="90"/>
      <c r="CF114" s="90"/>
    </row>
    <row r="115" spans="1:84">
      <c r="A115" s="96"/>
      <c r="B115" s="96"/>
      <c r="C115" s="96"/>
      <c r="D115" s="96"/>
      <c r="E115" s="96"/>
      <c r="F115" s="96"/>
      <c r="G115" s="97"/>
      <c r="H115" s="96"/>
      <c r="I115" s="96"/>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549"/>
      <c r="AI115" s="549"/>
      <c r="AJ115" s="549"/>
      <c r="AK115" s="549"/>
      <c r="AL115" s="549"/>
      <c r="AM115" s="549"/>
      <c r="AN115" s="549"/>
      <c r="AO115" s="869"/>
      <c r="AP115" s="869"/>
      <c r="AQ115" s="869"/>
      <c r="AR115" s="869"/>
      <c r="AS115" s="869"/>
      <c r="AT115" s="869"/>
      <c r="AU115" s="869"/>
      <c r="AV115" s="869"/>
      <c r="AW115" s="869">
        <v>1.1000000000000001</v>
      </c>
      <c r="AX115" s="854" t="s">
        <v>143</v>
      </c>
      <c r="AY115" s="854"/>
      <c r="AZ115" s="854">
        <f>IF(D4=BA102,0.3,IF(D4=BA103,0.4,IF(D4=BA104,0.45,IF(D4=BA105,0.5))))</f>
        <v>0.3</v>
      </c>
      <c r="BA115" s="854">
        <f>IF(D4=BA102,0.4,IF(D4=BA103,0.5,IF(D4=BA104,0.55,IF(D4=BA105,0.6))))</f>
        <v>0.4</v>
      </c>
      <c r="BB115" s="854"/>
      <c r="BC115" s="854"/>
      <c r="BD115" s="854"/>
      <c r="BE115" s="854"/>
      <c r="BF115" s="854">
        <v>25</v>
      </c>
      <c r="BG115" s="854">
        <v>14.88</v>
      </c>
      <c r="BH115" s="854"/>
      <c r="BI115" s="854" t="s">
        <v>338</v>
      </c>
      <c r="BJ115" s="854">
        <v>0.21</v>
      </c>
      <c r="BK115" s="854"/>
      <c r="BL115" s="854"/>
      <c r="BM115" s="863"/>
      <c r="BN115" s="863"/>
      <c r="BO115" s="863"/>
      <c r="BP115" s="863"/>
      <c r="BQ115" s="863"/>
      <c r="BR115" s="864"/>
      <c r="BS115" s="539"/>
      <c r="BT115" s="108"/>
      <c r="BU115" s="99"/>
      <c r="BV115" s="99"/>
      <c r="BW115" s="99"/>
      <c r="BX115" s="99"/>
      <c r="BY115" s="99"/>
      <c r="BZ115" s="99"/>
      <c r="CA115" s="99"/>
      <c r="CB115" s="99"/>
      <c r="CC115" s="90"/>
      <c r="CD115" s="90"/>
      <c r="CE115" s="90"/>
      <c r="CF115" s="90"/>
    </row>
    <row r="116" spans="1:84">
      <c r="A116" s="96"/>
      <c r="B116" s="96"/>
      <c r="C116" s="96"/>
      <c r="D116" s="96"/>
      <c r="E116" s="96"/>
      <c r="F116" s="96"/>
      <c r="G116" s="97"/>
      <c r="H116" s="96"/>
      <c r="I116" s="96"/>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549"/>
      <c r="AI116" s="549"/>
      <c r="AJ116" s="549"/>
      <c r="AK116" s="549"/>
      <c r="AL116" s="549"/>
      <c r="AM116" s="549"/>
      <c r="AN116" s="549"/>
      <c r="AO116" s="869"/>
      <c r="AP116" s="869"/>
      <c r="AQ116" s="869"/>
      <c r="AR116" s="869"/>
      <c r="AS116" s="869" t="s">
        <v>619</v>
      </c>
      <c r="AT116" s="869">
        <f>IF(AND($B$6="No",D6=0),0,60*3)</f>
        <v>0</v>
      </c>
      <c r="AU116" s="869"/>
      <c r="AV116" s="869"/>
      <c r="AW116" s="869">
        <v>1.3</v>
      </c>
      <c r="AX116" s="854"/>
      <c r="AY116" s="854"/>
      <c r="AZ116" s="854"/>
      <c r="BA116" s="854"/>
      <c r="BB116" s="854"/>
      <c r="BC116" s="854"/>
      <c r="BD116" s="854"/>
      <c r="BE116" s="854"/>
      <c r="BF116" s="854">
        <v>35</v>
      </c>
      <c r="BG116" s="854">
        <v>19.13</v>
      </c>
      <c r="BH116" s="854"/>
      <c r="BI116" s="854" t="s">
        <v>339</v>
      </c>
      <c r="BJ116" s="854">
        <v>0.25</v>
      </c>
      <c r="BK116" s="854"/>
      <c r="BL116" s="854"/>
      <c r="BM116" s="863"/>
      <c r="BN116" s="863"/>
      <c r="BO116" s="863"/>
      <c r="BP116" s="863"/>
      <c r="BQ116" s="863"/>
      <c r="BR116" s="864"/>
      <c r="BS116" s="539"/>
      <c r="BT116" s="108"/>
      <c r="BU116" s="99"/>
      <c r="BV116" s="99"/>
      <c r="BW116" s="99"/>
      <c r="BX116" s="99"/>
      <c r="BY116" s="99"/>
      <c r="BZ116" s="99"/>
      <c r="CA116" s="99"/>
      <c r="CB116" s="99"/>
      <c r="CC116" s="90"/>
      <c r="CD116" s="90"/>
      <c r="CE116" s="90"/>
      <c r="CF116" s="90"/>
    </row>
    <row r="117" spans="1:84">
      <c r="A117" s="96"/>
      <c r="B117" s="96"/>
      <c r="C117" s="96"/>
      <c r="D117" s="96"/>
      <c r="E117" s="96"/>
      <c r="F117" s="96"/>
      <c r="G117" s="97"/>
      <c r="H117" s="96"/>
      <c r="I117" s="96"/>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549"/>
      <c r="AI117" s="549"/>
      <c r="AJ117" s="549"/>
      <c r="AK117" s="549"/>
      <c r="AL117" s="549"/>
      <c r="AM117" s="549"/>
      <c r="AN117" s="549"/>
      <c r="AO117" s="869"/>
      <c r="AP117" s="869"/>
      <c r="AQ117" s="869"/>
      <c r="AR117" s="869"/>
      <c r="AS117" s="869" t="s">
        <v>618</v>
      </c>
      <c r="AT117" s="869">
        <f>IF(AND($B$6="No",D6=0),0,60)</f>
        <v>0</v>
      </c>
      <c r="AU117" s="869"/>
      <c r="AV117" s="869"/>
      <c r="AW117" s="869">
        <v>1.5</v>
      </c>
      <c r="AX117" s="854"/>
      <c r="AY117" s="854"/>
      <c r="AZ117" s="1022" t="s">
        <v>481</v>
      </c>
      <c r="BA117" s="1022"/>
      <c r="BB117" s="854"/>
      <c r="BC117" s="854"/>
      <c r="BD117" s="854"/>
      <c r="BE117" s="854"/>
      <c r="BF117" s="854">
        <v>45</v>
      </c>
      <c r="BG117" s="854">
        <v>21.25</v>
      </c>
      <c r="BH117" s="854"/>
      <c r="BI117" s="854"/>
      <c r="BJ117" s="854"/>
      <c r="BK117" s="854"/>
      <c r="BL117" s="854"/>
      <c r="BM117" s="863"/>
      <c r="BN117" s="863"/>
      <c r="BO117" s="863"/>
      <c r="BP117" s="863"/>
      <c r="BQ117" s="863"/>
      <c r="BR117" s="864"/>
      <c r="BS117" s="539"/>
      <c r="BT117" s="108"/>
      <c r="BU117" s="99"/>
      <c r="BV117" s="99"/>
      <c r="BW117" s="99"/>
      <c r="BX117" s="99"/>
      <c r="BY117" s="99"/>
      <c r="BZ117" s="99"/>
      <c r="CA117" s="99"/>
      <c r="CB117" s="99"/>
      <c r="CC117" s="90"/>
      <c r="CD117" s="90"/>
      <c r="CE117" s="90"/>
      <c r="CF117" s="90"/>
    </row>
    <row r="118" spans="1:84">
      <c r="A118" s="96"/>
      <c r="B118" s="96"/>
      <c r="C118" s="96"/>
      <c r="D118" s="96"/>
      <c r="E118" s="96"/>
      <c r="F118" s="96"/>
      <c r="G118" s="97"/>
      <c r="H118" s="96"/>
      <c r="I118" s="96"/>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549"/>
      <c r="AI118" s="549"/>
      <c r="AJ118" s="549"/>
      <c r="AK118" s="549"/>
      <c r="AL118" s="549"/>
      <c r="AM118" s="549"/>
      <c r="AN118" s="549"/>
      <c r="AO118" s="869"/>
      <c r="AP118" s="869"/>
      <c r="AQ118" s="869"/>
      <c r="AR118" s="869"/>
      <c r="AS118" s="869"/>
      <c r="AT118" s="869"/>
      <c r="AU118" s="869"/>
      <c r="AV118" s="869"/>
      <c r="AW118" s="869"/>
      <c r="AX118" s="854"/>
      <c r="AY118" s="854"/>
      <c r="AZ118" s="854" t="str">
        <f>IF(AZ111="1","0.26",IF(AZ111="2","0.28",IF(AZ111="3",0.3,IF(AZ111=4,"0.35",IF(AZ111=5,"0.4",0)))))</f>
        <v>0.28</v>
      </c>
      <c r="BA118" s="854"/>
      <c r="BB118" s="854"/>
      <c r="BC118" s="854"/>
      <c r="BD118" s="854"/>
      <c r="BE118" s="854"/>
      <c r="BF118" s="854">
        <v>50</v>
      </c>
      <c r="BG118" s="854">
        <v>21.25</v>
      </c>
      <c r="BH118" s="854"/>
      <c r="BI118" s="854"/>
      <c r="BJ118" s="854"/>
      <c r="BK118" s="854"/>
      <c r="BL118" s="854"/>
      <c r="BM118" s="863"/>
      <c r="BN118" s="863"/>
      <c r="BO118" s="863"/>
      <c r="BP118" s="863"/>
      <c r="BQ118" s="863"/>
      <c r="BR118" s="864"/>
      <c r="BS118" s="539"/>
      <c r="BT118" s="108"/>
      <c r="BU118" s="99"/>
      <c r="BV118" s="99"/>
      <c r="BW118" s="99"/>
      <c r="BX118" s="99"/>
      <c r="BY118" s="99"/>
      <c r="BZ118" s="99"/>
      <c r="CA118" s="99"/>
      <c r="CB118" s="99"/>
      <c r="CC118" s="90"/>
      <c r="CD118" s="90"/>
      <c r="CE118" s="90"/>
      <c r="CF118" s="90"/>
    </row>
    <row r="119" spans="1:84">
      <c r="A119" s="96"/>
      <c r="B119" s="96"/>
      <c r="C119" s="96"/>
      <c r="D119" s="96"/>
      <c r="E119" s="96"/>
      <c r="F119" s="96"/>
      <c r="G119" s="97"/>
      <c r="H119" s="96"/>
      <c r="I119" s="96"/>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549"/>
      <c r="AI119" s="549"/>
      <c r="AJ119" s="549"/>
      <c r="AK119" s="549"/>
      <c r="AL119" s="549"/>
      <c r="AM119" s="549"/>
      <c r="AN119" s="549"/>
      <c r="AO119" s="869"/>
      <c r="AP119" s="869"/>
      <c r="AQ119" s="869"/>
      <c r="AR119" s="869"/>
      <c r="AS119" s="869"/>
      <c r="AT119" s="869"/>
      <c r="AU119" s="869"/>
      <c r="AV119" s="869"/>
      <c r="AW119" s="869"/>
      <c r="AX119" s="854"/>
      <c r="AY119" s="854"/>
      <c r="AZ119" s="854"/>
      <c r="BA119" s="854"/>
      <c r="BB119" s="854"/>
      <c r="BC119" s="854"/>
      <c r="BD119" s="854"/>
      <c r="BE119" s="854"/>
      <c r="BF119" s="854"/>
      <c r="BG119" s="854"/>
      <c r="BH119" s="854"/>
      <c r="BI119" s="854"/>
      <c r="BJ119" s="854"/>
      <c r="BK119" s="854"/>
      <c r="BL119" s="854"/>
      <c r="BM119" s="863"/>
      <c r="BN119" s="863"/>
      <c r="BO119" s="863"/>
      <c r="BP119" s="863"/>
      <c r="BQ119" s="863"/>
      <c r="BR119" s="864"/>
      <c r="BS119" s="539"/>
      <c r="BT119" s="108"/>
      <c r="BU119" s="99"/>
      <c r="BV119" s="99"/>
      <c r="BW119" s="99"/>
      <c r="BX119" s="99"/>
      <c r="BY119" s="99"/>
      <c r="BZ119" s="99"/>
      <c r="CA119" s="99"/>
      <c r="CB119" s="99"/>
      <c r="CC119" s="90"/>
      <c r="CD119" s="90"/>
      <c r="CE119" s="90"/>
      <c r="CF119" s="90"/>
    </row>
    <row r="120" spans="1:84">
      <c r="A120" s="96"/>
      <c r="B120" s="96"/>
      <c r="C120" s="96"/>
      <c r="D120" s="96"/>
      <c r="E120" s="96"/>
      <c r="F120" s="96"/>
      <c r="G120" s="97"/>
      <c r="H120" s="96"/>
      <c r="I120" s="96"/>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549"/>
      <c r="AI120" s="549"/>
      <c r="AJ120" s="549"/>
      <c r="AK120" s="549"/>
      <c r="AL120" s="549"/>
      <c r="AM120" s="549"/>
      <c r="AN120" s="549"/>
      <c r="AO120" s="869"/>
      <c r="AP120" s="869"/>
      <c r="AQ120" s="869"/>
      <c r="AR120" s="869"/>
      <c r="AS120" s="869" t="s">
        <v>643</v>
      </c>
      <c r="AT120" s="909">
        <f>IF(AND(F9&lt;&gt;"Package",F9&lt;&gt;"Enhancement"),IF($D$5="&lt;1000",5286,IF($D$5="1001-1500",9534,IF($D$5="&gt;1500",24305,0))),IF($D$5="&lt;1000",2072,IF($D$5="1001-1500",3221,IF($D$5="&gt;1500",7890,0))))</f>
        <v>3221</v>
      </c>
      <c r="AU120" s="869"/>
      <c r="AV120" s="869"/>
      <c r="AW120" s="869"/>
      <c r="AX120" s="854"/>
      <c r="AY120" s="854"/>
      <c r="AZ120" s="854"/>
      <c r="BA120" s="854"/>
      <c r="BB120" s="854"/>
      <c r="BC120" s="854"/>
      <c r="BD120" s="854"/>
      <c r="BE120" s="854"/>
      <c r="BF120" s="854"/>
      <c r="BG120" s="854"/>
      <c r="BH120" s="854"/>
      <c r="BI120" s="854"/>
      <c r="BJ120" s="854"/>
      <c r="BK120" s="854"/>
      <c r="BL120" s="854"/>
      <c r="BM120" s="863"/>
      <c r="BN120" s="863"/>
      <c r="BO120" s="863"/>
      <c r="BP120" s="863"/>
      <c r="BQ120" s="863"/>
      <c r="BR120" s="864"/>
      <c r="BS120" s="539"/>
      <c r="BT120" s="108"/>
      <c r="BU120" s="99"/>
      <c r="BV120" s="99"/>
      <c r="BW120" s="99"/>
      <c r="BX120" s="99"/>
      <c r="BY120" s="99"/>
      <c r="BZ120" s="99"/>
      <c r="CA120" s="99"/>
      <c r="CB120" s="99"/>
      <c r="CC120" s="90"/>
      <c r="CD120" s="90"/>
      <c r="CE120" s="90"/>
      <c r="CF120" s="90"/>
    </row>
    <row r="121" spans="1:84">
      <c r="A121" s="96"/>
      <c r="B121" s="96"/>
      <c r="C121" s="96"/>
      <c r="D121" s="96"/>
      <c r="E121" s="96"/>
      <c r="F121" s="96"/>
      <c r="G121" s="97"/>
      <c r="H121" s="96"/>
      <c r="I121" s="96"/>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549"/>
      <c r="AI121" s="549"/>
      <c r="AJ121" s="549"/>
      <c r="AK121" s="549"/>
      <c r="AL121" s="549"/>
      <c r="AM121" s="549"/>
      <c r="AN121" s="549"/>
      <c r="AO121" s="855"/>
      <c r="AP121" s="855"/>
      <c r="AQ121" s="855"/>
      <c r="AR121" s="863"/>
      <c r="AS121" s="863" t="s">
        <v>644</v>
      </c>
      <c r="AT121" s="863">
        <f>IF(AND(F9&lt;&gt;"Package",F9&lt;&gt;"Enhancement"),IF($D$5="&lt;1000",4493,IF($D$5="1001-1500",8104,IF($D$5="&gt;1500",20659,0))),IF($D$5="&lt;1000",1761,IF($D$5="1001-1500",2738,IF($D$5="&gt;1500",6707,0))))</f>
        <v>2738</v>
      </c>
      <c r="AU121" s="863"/>
      <c r="AV121" s="863"/>
      <c r="AW121" s="863"/>
      <c r="AX121" s="863"/>
      <c r="AY121" s="863"/>
      <c r="AZ121" s="863"/>
      <c r="BA121" s="863"/>
      <c r="BB121" s="863"/>
      <c r="BC121" s="863"/>
      <c r="BD121" s="863"/>
      <c r="BE121" s="863"/>
      <c r="BF121" s="863"/>
      <c r="BG121" s="863"/>
      <c r="BH121" s="863"/>
      <c r="BI121" s="863"/>
      <c r="BJ121" s="863"/>
      <c r="BK121" s="863"/>
      <c r="BL121" s="863"/>
      <c r="BM121" s="863"/>
      <c r="BN121" s="863"/>
      <c r="BO121" s="863"/>
      <c r="BP121" s="863"/>
      <c r="BQ121" s="863"/>
      <c r="BR121" s="864"/>
      <c r="BS121" s="539"/>
      <c r="BT121" s="99"/>
      <c r="BU121" s="99"/>
      <c r="BV121" s="99"/>
      <c r="BW121" s="99"/>
      <c r="BX121" s="99"/>
      <c r="BY121" s="99"/>
      <c r="BZ121" s="99"/>
      <c r="CA121" s="99"/>
      <c r="CB121" s="99"/>
      <c r="CC121" s="90"/>
      <c r="CD121" s="90"/>
      <c r="CE121" s="90"/>
      <c r="CF121" s="90"/>
    </row>
    <row r="122" spans="1:84">
      <c r="A122" s="96"/>
      <c r="B122" s="96"/>
      <c r="C122" s="96"/>
      <c r="D122" s="96"/>
      <c r="E122" s="96"/>
      <c r="F122" s="96"/>
      <c r="G122" s="97"/>
      <c r="H122" s="96"/>
      <c r="I122" s="96"/>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549"/>
      <c r="AI122" s="549"/>
      <c r="AJ122" s="549"/>
      <c r="AK122" s="549"/>
      <c r="AL122" s="549"/>
      <c r="AM122" s="549"/>
      <c r="AN122" s="549"/>
      <c r="AO122" s="855"/>
      <c r="AP122" s="855"/>
      <c r="AQ122" s="855"/>
      <c r="AR122" s="863"/>
      <c r="AS122" s="863"/>
      <c r="AT122" s="863"/>
      <c r="AU122" s="863"/>
      <c r="AV122" s="863"/>
      <c r="AW122" s="863"/>
      <c r="AX122" s="863"/>
      <c r="AY122" s="863"/>
      <c r="AZ122" s="863"/>
      <c r="BA122" s="863"/>
      <c r="BB122" s="863"/>
      <c r="BC122" s="863"/>
      <c r="BD122" s="863"/>
      <c r="BE122" s="863"/>
      <c r="BF122" s="863"/>
      <c r="BG122" s="863"/>
      <c r="BH122" s="863"/>
      <c r="BI122" s="863"/>
      <c r="BJ122" s="863"/>
      <c r="BK122" s="863"/>
      <c r="BL122" s="863"/>
      <c r="BM122" s="863"/>
      <c r="BN122" s="863"/>
      <c r="BO122" s="863"/>
      <c r="BP122" s="863"/>
      <c r="BQ122" s="863"/>
      <c r="BR122" s="864"/>
      <c r="BS122" s="539"/>
      <c r="BT122" s="99"/>
      <c r="BU122" s="99"/>
      <c r="BV122" s="99"/>
      <c r="BW122" s="99"/>
      <c r="BX122" s="99"/>
      <c r="BY122" s="99"/>
      <c r="BZ122" s="99"/>
      <c r="CA122" s="99"/>
      <c r="CB122" s="99"/>
      <c r="CC122" s="90"/>
      <c r="CD122" s="90"/>
      <c r="CE122" s="90"/>
      <c r="CF122" s="90"/>
    </row>
    <row r="123" spans="1:84">
      <c r="A123" s="96"/>
      <c r="B123" s="96"/>
      <c r="C123" s="96"/>
      <c r="D123" s="96"/>
      <c r="E123" s="96"/>
      <c r="F123" s="96"/>
      <c r="G123" s="97"/>
      <c r="H123" s="96"/>
      <c r="I123" s="96"/>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549"/>
      <c r="AI123" s="549"/>
      <c r="AJ123" s="549"/>
      <c r="AK123" s="549"/>
      <c r="AL123" s="549"/>
      <c r="AM123" s="549"/>
      <c r="AN123" s="549"/>
      <c r="AO123" s="855"/>
      <c r="AP123" s="855"/>
      <c r="AQ123" s="855"/>
      <c r="AR123" s="863"/>
      <c r="AS123" s="863"/>
      <c r="AT123" s="863"/>
      <c r="AU123" s="863"/>
      <c r="AV123" s="863"/>
      <c r="AW123" s="863"/>
      <c r="AX123" s="863"/>
      <c r="AY123" s="863"/>
      <c r="AZ123" s="863"/>
      <c r="BA123" s="863"/>
      <c r="BB123" s="863"/>
      <c r="BC123" s="863"/>
      <c r="BD123" s="863"/>
      <c r="BE123" s="863"/>
      <c r="BF123" s="863"/>
      <c r="BG123" s="863"/>
      <c r="BH123" s="863"/>
      <c r="BI123" s="863"/>
      <c r="BJ123" s="863"/>
      <c r="BK123" s="863"/>
      <c r="BL123" s="863"/>
      <c r="BM123" s="863"/>
      <c r="BN123" s="863"/>
      <c r="BO123" s="863"/>
      <c r="BP123" s="863"/>
      <c r="BQ123" s="863"/>
      <c r="BR123" s="864"/>
      <c r="BS123" s="539"/>
      <c r="BT123" s="99"/>
      <c r="BU123" s="99"/>
      <c r="BV123" s="99"/>
      <c r="BW123" s="99"/>
      <c r="BX123" s="99"/>
      <c r="BY123" s="99"/>
      <c r="BZ123" s="99"/>
      <c r="CA123" s="99"/>
      <c r="CB123" s="99"/>
      <c r="CC123" s="90"/>
      <c r="CD123" s="90"/>
      <c r="CE123" s="90"/>
      <c r="CF123" s="90"/>
    </row>
    <row r="124" spans="1:84">
      <c r="A124" s="96"/>
      <c r="B124" s="96"/>
      <c r="C124" s="96"/>
      <c r="D124" s="96"/>
      <c r="E124" s="96"/>
      <c r="F124" s="96"/>
      <c r="G124" s="97"/>
      <c r="H124" s="96"/>
      <c r="I124" s="96"/>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549"/>
      <c r="AI124" s="549"/>
      <c r="AJ124" s="549"/>
      <c r="AK124" s="549"/>
      <c r="AL124" s="549"/>
      <c r="AM124" s="549"/>
      <c r="AN124" s="549"/>
      <c r="AO124" s="549"/>
      <c r="AP124" s="549"/>
      <c r="AQ124" s="549"/>
      <c r="AR124" s="538"/>
      <c r="AS124" s="538"/>
      <c r="AT124" s="538"/>
      <c r="AU124" s="538"/>
      <c r="AV124" s="538"/>
      <c r="AW124" s="538"/>
      <c r="AX124" s="538"/>
      <c r="AY124" s="538"/>
      <c r="AZ124" s="538"/>
      <c r="BA124" s="538"/>
      <c r="BB124" s="538"/>
      <c r="BC124" s="538"/>
      <c r="BD124" s="538"/>
      <c r="BE124" s="538"/>
      <c r="BF124" s="538"/>
      <c r="BG124" s="538"/>
      <c r="BH124" s="538"/>
      <c r="BI124" s="538"/>
      <c r="BJ124" s="538"/>
      <c r="BK124" s="538"/>
      <c r="BL124" s="538"/>
      <c r="BM124" s="538"/>
      <c r="BN124" s="538"/>
      <c r="BO124" s="538"/>
      <c r="BP124" s="538"/>
      <c r="BQ124" s="538"/>
      <c r="BR124" s="539"/>
      <c r="BS124" s="539"/>
      <c r="BT124" s="99"/>
      <c r="BU124" s="99"/>
      <c r="BV124" s="99"/>
      <c r="BW124" s="99"/>
      <c r="BX124" s="99"/>
      <c r="BY124" s="99"/>
      <c r="BZ124" s="99"/>
      <c r="CA124" s="99"/>
      <c r="CB124" s="99"/>
      <c r="CC124" s="90"/>
      <c r="CD124" s="90"/>
      <c r="CE124" s="90"/>
      <c r="CF124" s="90"/>
    </row>
    <row r="125" spans="1:84">
      <c r="A125" s="96"/>
      <c r="B125" s="96"/>
      <c r="C125" s="96"/>
      <c r="D125" s="96"/>
      <c r="E125" s="96"/>
      <c r="F125" s="96"/>
      <c r="G125" s="97"/>
      <c r="H125" s="96"/>
      <c r="I125" s="96"/>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549"/>
      <c r="AI125" s="549"/>
      <c r="AJ125" s="549"/>
      <c r="AK125" s="549"/>
      <c r="AL125" s="549"/>
      <c r="AM125" s="549"/>
      <c r="AN125" s="549"/>
      <c r="AO125" s="549"/>
      <c r="AP125" s="549"/>
      <c r="AQ125" s="549"/>
      <c r="AR125" s="538"/>
      <c r="AS125" s="538"/>
      <c r="AT125" s="538"/>
      <c r="AU125" s="538"/>
      <c r="AV125" s="538"/>
      <c r="AW125" s="538"/>
      <c r="AX125" s="538"/>
      <c r="AY125" s="538"/>
      <c r="AZ125" s="538"/>
      <c r="BA125" s="538"/>
      <c r="BB125" s="538"/>
      <c r="BC125" s="538"/>
      <c r="BD125" s="538"/>
      <c r="BE125" s="538"/>
      <c r="BF125" s="538"/>
      <c r="BG125" s="538"/>
      <c r="BH125" s="538"/>
      <c r="BI125" s="538"/>
      <c r="BJ125" s="538"/>
      <c r="BK125" s="538"/>
      <c r="BL125" s="538"/>
      <c r="BM125" s="538"/>
      <c r="BN125" s="538"/>
      <c r="BO125" s="538"/>
      <c r="BP125" s="538"/>
      <c r="BQ125" s="538"/>
      <c r="BR125" s="539"/>
      <c r="BS125" s="539"/>
      <c r="BT125" s="99"/>
      <c r="BU125" s="99"/>
      <c r="BV125" s="99"/>
      <c r="BW125" s="99"/>
      <c r="BX125" s="99"/>
      <c r="BY125" s="99"/>
      <c r="BZ125" s="99"/>
      <c r="CA125" s="99"/>
      <c r="CB125" s="99"/>
      <c r="CC125" s="90"/>
      <c r="CD125" s="90"/>
      <c r="CE125" s="90"/>
      <c r="CF125" s="90"/>
    </row>
    <row r="126" spans="1:84">
      <c r="A126" s="96"/>
      <c r="B126" s="96"/>
      <c r="C126" s="96"/>
      <c r="D126" s="96"/>
      <c r="E126" s="96"/>
      <c r="F126" s="96"/>
      <c r="G126" s="97"/>
      <c r="H126" s="96"/>
      <c r="I126" s="96"/>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549"/>
      <c r="AI126" s="549"/>
      <c r="AJ126" s="549"/>
      <c r="AK126" s="549"/>
      <c r="AL126" s="549"/>
      <c r="AM126" s="549"/>
      <c r="AN126" s="549"/>
      <c r="AO126" s="549"/>
      <c r="AP126" s="549"/>
      <c r="AQ126" s="549"/>
      <c r="AR126" s="538"/>
      <c r="AS126" s="538"/>
      <c r="AT126" s="538"/>
      <c r="AU126" s="538"/>
      <c r="AV126" s="538"/>
      <c r="AW126" s="538"/>
      <c r="AX126" s="538"/>
      <c r="AY126" s="538"/>
      <c r="AZ126" s="538"/>
      <c r="BA126" s="538"/>
      <c r="BB126" s="538"/>
      <c r="BC126" s="538"/>
      <c r="BD126" s="538"/>
      <c r="BE126" s="538"/>
      <c r="BF126" s="538"/>
      <c r="BG126" s="538"/>
      <c r="BH126" s="538"/>
      <c r="BI126" s="538"/>
      <c r="BJ126" s="538"/>
      <c r="BK126" s="538"/>
      <c r="BL126" s="538"/>
      <c r="BM126" s="538"/>
      <c r="BN126" s="538"/>
      <c r="BO126" s="538"/>
      <c r="BP126" s="538"/>
      <c r="BQ126" s="538"/>
      <c r="BR126" s="539"/>
      <c r="BS126" s="539"/>
      <c r="BT126" s="99"/>
      <c r="BU126" s="99"/>
      <c r="BV126" s="99"/>
      <c r="BW126" s="99"/>
      <c r="BX126" s="99"/>
      <c r="BY126" s="99"/>
      <c r="BZ126" s="99"/>
      <c r="CA126" s="99"/>
      <c r="CB126" s="99"/>
      <c r="CC126" s="90"/>
      <c r="CD126" s="90"/>
      <c r="CE126" s="90"/>
      <c r="CF126" s="90"/>
    </row>
    <row r="127" spans="1:84">
      <c r="A127" s="96"/>
      <c r="B127" s="96"/>
      <c r="C127" s="96"/>
      <c r="D127" s="96"/>
      <c r="E127" s="96"/>
      <c r="F127" s="96"/>
      <c r="G127" s="97"/>
      <c r="H127" s="96"/>
      <c r="I127" s="96"/>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549"/>
      <c r="AI127" s="549"/>
      <c r="AJ127" s="549"/>
      <c r="AK127" s="549"/>
      <c r="AL127" s="549"/>
      <c r="AM127" s="549"/>
      <c r="AN127" s="549"/>
      <c r="AO127" s="549"/>
      <c r="AP127" s="549"/>
      <c r="AQ127" s="549"/>
      <c r="AR127" s="538"/>
      <c r="AS127" s="538"/>
      <c r="AT127" s="538"/>
      <c r="AU127" s="538"/>
      <c r="AV127" s="538"/>
      <c r="AW127" s="538"/>
      <c r="AX127" s="538"/>
      <c r="AY127" s="538"/>
      <c r="AZ127" s="538"/>
      <c r="BA127" s="538"/>
      <c r="BB127" s="538"/>
      <c r="BC127" s="538"/>
      <c r="BD127" s="538"/>
      <c r="BE127" s="538"/>
      <c r="BF127" s="538"/>
      <c r="BG127" s="538"/>
      <c r="BH127" s="538"/>
      <c r="BI127" s="538"/>
      <c r="BJ127" s="538"/>
      <c r="BK127" s="538"/>
      <c r="BL127" s="538"/>
      <c r="BM127" s="538"/>
      <c r="BN127" s="538"/>
      <c r="BO127" s="538"/>
      <c r="BP127" s="538"/>
      <c r="BQ127" s="538"/>
      <c r="BR127" s="539"/>
      <c r="BS127" s="539"/>
      <c r="BT127" s="99"/>
      <c r="BU127" s="99"/>
      <c r="BV127" s="99"/>
      <c r="BW127" s="99"/>
      <c r="BX127" s="99"/>
      <c r="BY127" s="99"/>
      <c r="BZ127" s="99"/>
      <c r="CA127" s="99"/>
      <c r="CB127" s="99"/>
      <c r="CC127" s="90"/>
      <c r="CD127" s="90"/>
      <c r="CE127" s="90"/>
      <c r="CF127" s="90"/>
    </row>
    <row r="128" spans="1:84">
      <c r="A128" s="96"/>
      <c r="B128" s="96"/>
      <c r="C128" s="96"/>
      <c r="D128" s="96"/>
      <c r="E128" s="96"/>
      <c r="F128" s="96"/>
      <c r="G128" s="97"/>
      <c r="H128" s="96"/>
      <c r="I128" s="96"/>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549"/>
      <c r="AI128" s="549"/>
      <c r="AJ128" s="549"/>
      <c r="AK128" s="549"/>
      <c r="AL128" s="549"/>
      <c r="AM128" s="549"/>
      <c r="AN128" s="549"/>
      <c r="AO128" s="549"/>
      <c r="AP128" s="549"/>
      <c r="AQ128" s="549"/>
      <c r="AR128" s="538"/>
      <c r="AS128" s="538"/>
      <c r="AT128" s="538"/>
      <c r="AU128" s="538"/>
      <c r="AV128" s="538"/>
      <c r="AW128" s="538"/>
      <c r="AX128" s="538"/>
      <c r="AY128" s="538"/>
      <c r="AZ128" s="538"/>
      <c r="BA128" s="538"/>
      <c r="BB128" s="538"/>
      <c r="BC128" s="538"/>
      <c r="BD128" s="538"/>
      <c r="BE128" s="538"/>
      <c r="BF128" s="538"/>
      <c r="BG128" s="538"/>
      <c r="BH128" s="538"/>
      <c r="BI128" s="538"/>
      <c r="BJ128" s="538"/>
      <c r="BK128" s="538"/>
      <c r="BL128" s="538"/>
      <c r="BM128" s="538"/>
      <c r="BN128" s="538"/>
      <c r="BO128" s="538"/>
      <c r="BP128" s="538"/>
      <c r="BQ128" s="538"/>
      <c r="BR128" s="539"/>
      <c r="BS128" s="539"/>
      <c r="BT128" s="99"/>
      <c r="BU128" s="99"/>
      <c r="BV128" s="99"/>
      <c r="BW128" s="99"/>
      <c r="BX128" s="99"/>
      <c r="BY128" s="99"/>
      <c r="BZ128" s="99"/>
      <c r="CA128" s="99"/>
      <c r="CB128" s="99"/>
      <c r="CC128" s="90"/>
      <c r="CD128" s="90"/>
      <c r="CE128" s="90"/>
      <c r="CF128" s="90"/>
    </row>
    <row r="129" spans="1:84">
      <c r="A129" s="96"/>
      <c r="B129" s="96"/>
      <c r="C129" s="96"/>
      <c r="D129" s="96"/>
      <c r="E129" s="96"/>
      <c r="F129" s="96"/>
      <c r="G129" s="97"/>
      <c r="H129" s="96"/>
      <c r="I129" s="96"/>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549"/>
      <c r="AI129" s="549"/>
      <c r="AJ129" s="549"/>
      <c r="AK129" s="549"/>
      <c r="AL129" s="549"/>
      <c r="AM129" s="549"/>
      <c r="AN129" s="549"/>
      <c r="AO129" s="549"/>
      <c r="AP129" s="549"/>
      <c r="AQ129" s="549"/>
      <c r="AR129" s="538"/>
      <c r="AS129" s="538"/>
      <c r="AT129" s="538"/>
      <c r="AU129" s="538"/>
      <c r="AV129" s="538"/>
      <c r="AW129" s="538"/>
      <c r="AX129" s="538"/>
      <c r="AY129" s="538"/>
      <c r="AZ129" s="538"/>
      <c r="BA129" s="538"/>
      <c r="BB129" s="538"/>
      <c r="BC129" s="538"/>
      <c r="BD129" s="538"/>
      <c r="BE129" s="538"/>
      <c r="BF129" s="538"/>
      <c r="BG129" s="538"/>
      <c r="BH129" s="538"/>
      <c r="BI129" s="538"/>
      <c r="BJ129" s="538"/>
      <c r="BK129" s="538"/>
      <c r="BL129" s="538"/>
      <c r="BM129" s="538"/>
      <c r="BN129" s="538"/>
      <c r="BO129" s="538"/>
      <c r="BP129" s="538"/>
      <c r="BQ129" s="538"/>
      <c r="BR129" s="539"/>
      <c r="BS129" s="539"/>
      <c r="BT129" s="99"/>
      <c r="BU129" s="99"/>
      <c r="BV129" s="99"/>
      <c r="BW129" s="99"/>
      <c r="BX129" s="99"/>
      <c r="BY129" s="99"/>
      <c r="BZ129" s="99"/>
      <c r="CA129" s="99"/>
      <c r="CB129" s="99"/>
      <c r="CC129" s="90"/>
      <c r="CD129" s="90"/>
      <c r="CE129" s="90"/>
      <c r="CF129" s="90"/>
    </row>
    <row r="130" spans="1:84">
      <c r="A130" s="96"/>
      <c r="B130" s="96"/>
      <c r="C130" s="96"/>
      <c r="D130" s="96"/>
      <c r="E130" s="96"/>
      <c r="F130" s="96"/>
      <c r="G130" s="97"/>
      <c r="H130" s="96"/>
      <c r="I130" s="96"/>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549"/>
      <c r="AI130" s="549"/>
      <c r="AJ130" s="549"/>
      <c r="AK130" s="549"/>
      <c r="AL130" s="549"/>
      <c r="AM130" s="549"/>
      <c r="AN130" s="549"/>
      <c r="AO130" s="549"/>
      <c r="AP130" s="549"/>
      <c r="AQ130" s="549"/>
      <c r="AR130" s="538"/>
      <c r="AS130" s="538"/>
      <c r="AT130" s="538"/>
      <c r="AU130" s="538"/>
      <c r="AV130" s="538"/>
      <c r="AW130" s="538"/>
      <c r="AX130" s="538"/>
      <c r="AY130" s="538"/>
      <c r="AZ130" s="538"/>
      <c r="BA130" s="538"/>
      <c r="BB130" s="538"/>
      <c r="BC130" s="538"/>
      <c r="BD130" s="538"/>
      <c r="BE130" s="538"/>
      <c r="BF130" s="538"/>
      <c r="BG130" s="538"/>
      <c r="BH130" s="538"/>
      <c r="BI130" s="538"/>
      <c r="BJ130" s="538"/>
      <c r="BK130" s="538"/>
      <c r="BL130" s="538"/>
      <c r="BM130" s="538"/>
      <c r="BN130" s="538"/>
      <c r="BO130" s="538"/>
      <c r="BP130" s="538"/>
      <c r="BQ130" s="538"/>
      <c r="BR130" s="539"/>
      <c r="BS130" s="539"/>
      <c r="BT130" s="99"/>
      <c r="BU130" s="99"/>
      <c r="BV130" s="99"/>
      <c r="BW130" s="99"/>
      <c r="BX130" s="99"/>
      <c r="BY130" s="99"/>
      <c r="BZ130" s="99"/>
      <c r="CA130" s="99"/>
      <c r="CB130" s="99"/>
      <c r="CC130" s="90"/>
      <c r="CD130" s="90"/>
      <c r="CE130" s="90"/>
      <c r="CF130" s="90"/>
    </row>
    <row r="131" spans="1:84">
      <c r="A131" s="96"/>
      <c r="B131" s="96"/>
      <c r="C131" s="96"/>
      <c r="D131" s="96"/>
      <c r="E131" s="96"/>
      <c r="F131" s="96"/>
      <c r="G131" s="97"/>
      <c r="H131" s="96"/>
      <c r="I131" s="96"/>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549"/>
      <c r="AI131" s="549"/>
      <c r="AJ131" s="549"/>
      <c r="AK131" s="549"/>
      <c r="AL131" s="549"/>
      <c r="AM131" s="549"/>
      <c r="AN131" s="549"/>
      <c r="AO131" s="549"/>
      <c r="AP131" s="549"/>
      <c r="AQ131" s="549"/>
      <c r="AR131" s="538"/>
      <c r="AS131" s="538"/>
      <c r="AT131" s="538"/>
      <c r="AU131" s="538"/>
      <c r="AV131" s="538"/>
      <c r="AW131" s="538"/>
      <c r="AX131" s="538"/>
      <c r="AY131" s="538"/>
      <c r="AZ131" s="538"/>
      <c r="BA131" s="538"/>
      <c r="BB131" s="538"/>
      <c r="BC131" s="538"/>
      <c r="BD131" s="538"/>
      <c r="BE131" s="538"/>
      <c r="BF131" s="538"/>
      <c r="BG131" s="538"/>
      <c r="BH131" s="538"/>
      <c r="BI131" s="538"/>
      <c r="BJ131" s="538"/>
      <c r="BK131" s="538"/>
      <c r="BL131" s="538"/>
      <c r="BM131" s="538"/>
      <c r="BN131" s="538"/>
      <c r="BO131" s="538"/>
      <c r="BP131" s="538"/>
      <c r="BQ131" s="538"/>
      <c r="BR131" s="539"/>
      <c r="BS131" s="539"/>
      <c r="BT131" s="99"/>
      <c r="BU131" s="99"/>
      <c r="BV131" s="99"/>
      <c r="BW131" s="99"/>
      <c r="BX131" s="99"/>
      <c r="BY131" s="99"/>
      <c r="BZ131" s="99"/>
      <c r="CA131" s="99"/>
      <c r="CB131" s="99"/>
      <c r="CC131" s="90"/>
      <c r="CD131" s="90"/>
      <c r="CE131" s="90"/>
      <c r="CF131" s="90"/>
    </row>
    <row r="132" spans="1:84">
      <c r="A132" s="96"/>
      <c r="B132" s="96"/>
      <c r="C132" s="96"/>
      <c r="D132" s="96"/>
      <c r="E132" s="96"/>
      <c r="F132" s="96"/>
      <c r="G132" s="97"/>
      <c r="H132" s="96"/>
      <c r="I132" s="96"/>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549"/>
      <c r="AI132" s="549"/>
      <c r="AJ132" s="549"/>
      <c r="AK132" s="549"/>
      <c r="AL132" s="549"/>
      <c r="AM132" s="549"/>
      <c r="AN132" s="549"/>
      <c r="AO132" s="549"/>
      <c r="AP132" s="549"/>
      <c r="AQ132" s="549"/>
      <c r="AR132" s="538"/>
      <c r="AS132" s="538"/>
      <c r="AT132" s="538"/>
      <c r="AU132" s="538"/>
      <c r="AV132" s="538"/>
      <c r="AW132" s="538"/>
      <c r="AX132" s="538"/>
      <c r="AY132" s="538"/>
      <c r="AZ132" s="538"/>
      <c r="BA132" s="538"/>
      <c r="BB132" s="538"/>
      <c r="BC132" s="538"/>
      <c r="BD132" s="538"/>
      <c r="BE132" s="538"/>
      <c r="BF132" s="538"/>
      <c r="BG132" s="538"/>
      <c r="BH132" s="538"/>
      <c r="BI132" s="538"/>
      <c r="BJ132" s="538"/>
      <c r="BK132" s="538"/>
      <c r="BL132" s="538"/>
      <c r="BM132" s="538"/>
      <c r="BN132" s="538"/>
      <c r="BO132" s="538"/>
      <c r="BP132" s="538"/>
      <c r="BQ132" s="538"/>
      <c r="BR132" s="539"/>
      <c r="BS132" s="539"/>
      <c r="BT132" s="99"/>
      <c r="BU132" s="99"/>
      <c r="BV132" s="99"/>
      <c r="BW132" s="99"/>
      <c r="BX132" s="99"/>
      <c r="BY132" s="99"/>
      <c r="BZ132" s="99"/>
      <c r="CA132" s="99"/>
      <c r="CB132" s="99"/>
      <c r="CC132" s="90"/>
      <c r="CD132" s="90"/>
      <c r="CE132" s="90"/>
      <c r="CF132" s="90"/>
    </row>
    <row r="133" spans="1:84">
      <c r="A133" s="96"/>
      <c r="B133" s="96"/>
      <c r="C133" s="96"/>
      <c r="D133" s="96"/>
      <c r="E133" s="96"/>
      <c r="F133" s="96"/>
      <c r="G133" s="97"/>
      <c r="H133" s="96"/>
      <c r="I133" s="96"/>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549"/>
      <c r="AI133" s="549"/>
      <c r="AJ133" s="549"/>
      <c r="AK133" s="549"/>
      <c r="AL133" s="549"/>
      <c r="AM133" s="549"/>
      <c r="AN133" s="549"/>
      <c r="AO133" s="549"/>
      <c r="AP133" s="549"/>
      <c r="AQ133" s="549"/>
      <c r="AR133" s="538"/>
      <c r="AS133" s="538"/>
      <c r="AT133" s="538"/>
      <c r="AU133" s="538"/>
      <c r="AV133" s="538"/>
      <c r="AW133" s="538"/>
      <c r="AX133" s="538"/>
      <c r="AY133" s="538"/>
      <c r="AZ133" s="538"/>
      <c r="BA133" s="538"/>
      <c r="BB133" s="538"/>
      <c r="BC133" s="538"/>
      <c r="BD133" s="538"/>
      <c r="BE133" s="538"/>
      <c r="BF133" s="538"/>
      <c r="BG133" s="538"/>
      <c r="BH133" s="538"/>
      <c r="BI133" s="538"/>
      <c r="BJ133" s="538"/>
      <c r="BK133" s="538"/>
      <c r="BL133" s="538"/>
      <c r="BM133" s="538"/>
      <c r="BN133" s="538"/>
      <c r="BO133" s="538"/>
      <c r="BP133" s="538"/>
      <c r="BQ133" s="538"/>
      <c r="BR133" s="539"/>
      <c r="BS133" s="539"/>
      <c r="BT133" s="99"/>
      <c r="BU133" s="99"/>
      <c r="BV133" s="99"/>
      <c r="BW133" s="99"/>
      <c r="BX133" s="99"/>
      <c r="BY133" s="99"/>
      <c r="BZ133" s="99"/>
      <c r="CA133" s="99"/>
      <c r="CB133" s="99"/>
      <c r="CC133" s="90"/>
      <c r="CD133" s="90"/>
      <c r="CE133" s="90"/>
      <c r="CF133" s="90"/>
    </row>
    <row r="134" spans="1:84">
      <c r="A134" s="96"/>
      <c r="B134" s="96"/>
      <c r="C134" s="96"/>
      <c r="D134" s="96"/>
      <c r="E134" s="96"/>
      <c r="F134" s="96"/>
      <c r="G134" s="97"/>
      <c r="H134" s="96"/>
      <c r="I134" s="96"/>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549"/>
      <c r="AI134" s="549"/>
      <c r="AJ134" s="549"/>
      <c r="AK134" s="549"/>
      <c r="AL134" s="549"/>
      <c r="AM134" s="549"/>
      <c r="AN134" s="549"/>
      <c r="AO134" s="549"/>
      <c r="AP134" s="549"/>
      <c r="AQ134" s="549"/>
      <c r="AR134" s="538"/>
      <c r="AS134" s="538"/>
      <c r="AT134" s="538"/>
      <c r="AU134" s="538"/>
      <c r="AV134" s="538"/>
      <c r="AW134" s="538"/>
      <c r="AX134" s="538"/>
      <c r="AY134" s="538"/>
      <c r="AZ134" s="538"/>
      <c r="BA134" s="538"/>
      <c r="BB134" s="538"/>
      <c r="BC134" s="538"/>
      <c r="BD134" s="538"/>
      <c r="BE134" s="538"/>
      <c r="BF134" s="538"/>
      <c r="BG134" s="538"/>
      <c r="BH134" s="538"/>
      <c r="BI134" s="538"/>
      <c r="BJ134" s="538"/>
      <c r="BK134" s="538"/>
      <c r="BL134" s="538"/>
      <c r="BM134" s="538"/>
      <c r="BN134" s="538"/>
      <c r="BO134" s="538"/>
      <c r="BP134" s="538"/>
      <c r="BQ134" s="538"/>
      <c r="BR134" s="539"/>
      <c r="BS134" s="539"/>
      <c r="BT134" s="99"/>
      <c r="BU134" s="99"/>
      <c r="BV134" s="99"/>
      <c r="BW134" s="99"/>
      <c r="BX134" s="99"/>
      <c r="BY134" s="99"/>
      <c r="BZ134" s="99"/>
      <c r="CA134" s="99"/>
      <c r="CB134" s="99"/>
      <c r="CC134" s="90"/>
      <c r="CD134" s="90"/>
      <c r="CE134" s="90"/>
      <c r="CF134" s="90"/>
    </row>
    <row r="135" spans="1:84">
      <c r="A135" s="96"/>
      <c r="B135" s="96"/>
      <c r="C135" s="96"/>
      <c r="D135" s="96"/>
      <c r="E135" s="96"/>
      <c r="F135" s="96"/>
      <c r="G135" s="97"/>
      <c r="H135" s="96"/>
      <c r="I135" s="96"/>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549"/>
      <c r="AI135" s="549"/>
      <c r="AJ135" s="549"/>
      <c r="AK135" s="549"/>
      <c r="AL135" s="549"/>
      <c r="AM135" s="549"/>
      <c r="AN135" s="549"/>
      <c r="AO135" s="549"/>
      <c r="AP135" s="549"/>
      <c r="AQ135" s="549"/>
      <c r="AR135" s="538"/>
      <c r="AS135" s="538"/>
      <c r="AT135" s="538"/>
      <c r="AU135" s="538"/>
      <c r="AV135" s="538"/>
      <c r="AW135" s="538"/>
      <c r="AX135" s="538"/>
      <c r="AY135" s="538"/>
      <c r="AZ135" s="538"/>
      <c r="BA135" s="538"/>
      <c r="BB135" s="538"/>
      <c r="BC135" s="538"/>
      <c r="BD135" s="538"/>
      <c r="BE135" s="538"/>
      <c r="BF135" s="538"/>
      <c r="BG135" s="538"/>
      <c r="BH135" s="538"/>
      <c r="BI135" s="538"/>
      <c r="BJ135" s="538"/>
      <c r="BK135" s="538"/>
      <c r="BL135" s="538"/>
      <c r="BM135" s="538"/>
      <c r="BN135" s="538"/>
      <c r="BO135" s="538"/>
      <c r="BP135" s="538"/>
      <c r="BQ135" s="538"/>
      <c r="BR135" s="539"/>
      <c r="BS135" s="539"/>
      <c r="BT135" s="99"/>
      <c r="BU135" s="99"/>
      <c r="BV135" s="99"/>
      <c r="BW135" s="99"/>
      <c r="BX135" s="99"/>
      <c r="BY135" s="99"/>
      <c r="BZ135" s="99"/>
      <c r="CA135" s="99"/>
      <c r="CB135" s="99"/>
      <c r="CC135" s="90"/>
      <c r="CD135" s="90"/>
      <c r="CE135" s="90"/>
      <c r="CF135" s="90"/>
    </row>
    <row r="136" spans="1:84">
      <c r="A136" s="96"/>
      <c r="B136" s="96"/>
      <c r="C136" s="96"/>
      <c r="D136" s="96"/>
      <c r="E136" s="96"/>
      <c r="F136" s="96"/>
      <c r="G136" s="97"/>
      <c r="H136" s="96"/>
      <c r="I136" s="96"/>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549"/>
      <c r="AI136" s="549"/>
      <c r="AJ136" s="549"/>
      <c r="AK136" s="549"/>
      <c r="AL136" s="549"/>
      <c r="AM136" s="549"/>
      <c r="AN136" s="549"/>
      <c r="AO136" s="549"/>
      <c r="AP136" s="549"/>
      <c r="AQ136" s="549"/>
      <c r="AR136" s="538"/>
      <c r="AS136" s="538"/>
      <c r="AT136" s="538"/>
      <c r="AU136" s="538"/>
      <c r="AV136" s="538"/>
      <c r="AW136" s="538"/>
      <c r="AX136" s="538"/>
      <c r="AY136" s="538"/>
      <c r="AZ136" s="538"/>
      <c r="BA136" s="538"/>
      <c r="BB136" s="538"/>
      <c r="BC136" s="538"/>
      <c r="BD136" s="538"/>
      <c r="BE136" s="538"/>
      <c r="BF136" s="538"/>
      <c r="BG136" s="538"/>
      <c r="BH136" s="538"/>
      <c r="BI136" s="538"/>
      <c r="BJ136" s="538"/>
      <c r="BK136" s="538"/>
      <c r="BL136" s="538"/>
      <c r="BM136" s="538"/>
      <c r="BN136" s="538"/>
      <c r="BO136" s="538"/>
      <c r="BP136" s="538"/>
      <c r="BQ136" s="538"/>
      <c r="BR136" s="539"/>
      <c r="BS136" s="539"/>
      <c r="BT136" s="99"/>
      <c r="BU136" s="107"/>
      <c r="BV136" s="107"/>
      <c r="BW136" s="107"/>
      <c r="BX136" s="107"/>
      <c r="BY136" s="107"/>
      <c r="BZ136" s="107"/>
      <c r="CA136" s="107"/>
      <c r="CB136" s="107"/>
      <c r="CC136" s="57"/>
      <c r="CD136" s="90"/>
      <c r="CE136" s="90"/>
      <c r="CF136" s="90"/>
    </row>
    <row r="137" spans="1:84">
      <c r="A137" s="96"/>
      <c r="B137" s="96"/>
      <c r="C137" s="96"/>
      <c r="D137" s="96"/>
      <c r="E137" s="96"/>
      <c r="F137" s="96"/>
      <c r="G137" s="97"/>
      <c r="H137" s="96"/>
      <c r="I137" s="96"/>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549"/>
      <c r="AI137" s="549"/>
      <c r="AJ137" s="549"/>
      <c r="AK137" s="549"/>
      <c r="AL137" s="549"/>
      <c r="AM137" s="549"/>
      <c r="AN137" s="549"/>
      <c r="AO137" s="549"/>
      <c r="AP137" s="549"/>
      <c r="AQ137" s="549"/>
      <c r="AR137" s="538"/>
      <c r="AS137" s="538"/>
      <c r="AT137" s="538"/>
      <c r="AU137" s="538"/>
      <c r="AV137" s="538"/>
      <c r="AW137" s="538"/>
      <c r="AX137" s="538"/>
      <c r="AY137" s="538"/>
      <c r="AZ137" s="538"/>
      <c r="BA137" s="538"/>
      <c r="BB137" s="538"/>
      <c r="BC137" s="538"/>
      <c r="BD137" s="538"/>
      <c r="BE137" s="538"/>
      <c r="BF137" s="538"/>
      <c r="BG137" s="538"/>
      <c r="BH137" s="538"/>
      <c r="BI137" s="538"/>
      <c r="BJ137" s="538"/>
      <c r="BK137" s="538"/>
      <c r="BL137" s="538"/>
      <c r="BM137" s="538"/>
      <c r="BN137" s="538"/>
      <c r="BO137" s="538"/>
      <c r="BP137" s="538"/>
      <c r="BQ137" s="538"/>
      <c r="BR137" s="539"/>
      <c r="BS137" s="539"/>
      <c r="BT137" s="99"/>
      <c r="BU137" s="107"/>
      <c r="BV137" s="109"/>
      <c r="BW137" s="109"/>
      <c r="BX137" s="109"/>
      <c r="BY137" s="109"/>
      <c r="BZ137" s="109"/>
      <c r="CA137" s="109"/>
      <c r="CB137" s="109"/>
      <c r="CC137" s="57"/>
      <c r="CD137" s="90"/>
      <c r="CE137" s="90"/>
      <c r="CF137" s="90"/>
    </row>
    <row r="138" spans="1:84">
      <c r="A138" s="96"/>
      <c r="B138" s="96"/>
      <c r="C138" s="96"/>
      <c r="D138" s="96"/>
      <c r="E138" s="96"/>
      <c r="F138" s="96"/>
      <c r="G138" s="97"/>
      <c r="H138" s="96"/>
      <c r="I138" s="96"/>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549"/>
      <c r="AI138" s="549"/>
      <c r="AJ138" s="549"/>
      <c r="AK138" s="549"/>
      <c r="AL138" s="549"/>
      <c r="AM138" s="549"/>
      <c r="AN138" s="549"/>
      <c r="AO138" s="549"/>
      <c r="AP138" s="549"/>
      <c r="AQ138" s="549"/>
      <c r="AR138" s="538"/>
      <c r="AS138" s="538"/>
      <c r="AT138" s="538"/>
      <c r="AU138" s="538"/>
      <c r="AV138" s="538"/>
      <c r="AW138" s="538"/>
      <c r="AX138" s="538"/>
      <c r="AY138" s="538"/>
      <c r="AZ138" s="538"/>
      <c r="BA138" s="538"/>
      <c r="BB138" s="538"/>
      <c r="BC138" s="538"/>
      <c r="BD138" s="538"/>
      <c r="BE138" s="538"/>
      <c r="BF138" s="538"/>
      <c r="BG138" s="538"/>
      <c r="BH138" s="538"/>
      <c r="BI138" s="538"/>
      <c r="BJ138" s="538"/>
      <c r="BK138" s="538"/>
      <c r="BL138" s="538"/>
      <c r="BM138" s="538"/>
      <c r="BN138" s="538"/>
      <c r="BO138" s="538"/>
      <c r="BP138" s="538"/>
      <c r="BQ138" s="538"/>
      <c r="BR138" s="539"/>
      <c r="BS138" s="539"/>
      <c r="BT138" s="99"/>
      <c r="BU138" s="107"/>
      <c r="BV138" s="1024" t="s">
        <v>95</v>
      </c>
      <c r="BW138" s="1024"/>
      <c r="BX138" s="1024"/>
      <c r="BY138" s="1024"/>
      <c r="BZ138" s="1024"/>
      <c r="CA138" s="1024"/>
      <c r="CB138" s="1024"/>
      <c r="CC138" s="57"/>
      <c r="CD138" s="90"/>
      <c r="CE138" s="90"/>
      <c r="CF138" s="90"/>
    </row>
    <row r="139" spans="1:84">
      <c r="A139" s="96"/>
      <c r="B139" s="96"/>
      <c r="C139" s="96"/>
      <c r="D139" s="96"/>
      <c r="E139" s="96"/>
      <c r="F139" s="96"/>
      <c r="G139" s="97"/>
      <c r="H139" s="96"/>
      <c r="I139" s="96"/>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549"/>
      <c r="AI139" s="549"/>
      <c r="AJ139" s="549"/>
      <c r="AK139" s="549"/>
      <c r="AL139" s="549"/>
      <c r="AM139" s="549"/>
      <c r="AN139" s="549"/>
      <c r="AO139" s="549"/>
      <c r="AP139" s="549"/>
      <c r="AQ139" s="549"/>
      <c r="AR139" s="538"/>
      <c r="AS139" s="538"/>
      <c r="AT139" s="538"/>
      <c r="AU139" s="538"/>
      <c r="AV139" s="538"/>
      <c r="AW139" s="538"/>
      <c r="AX139" s="538"/>
      <c r="AY139" s="538"/>
      <c r="AZ139" s="538"/>
      <c r="BA139" s="538"/>
      <c r="BB139" s="538"/>
      <c r="BC139" s="538"/>
      <c r="BD139" s="538"/>
      <c r="BE139" s="538"/>
      <c r="BF139" s="538"/>
      <c r="BG139" s="538"/>
      <c r="BH139" s="538"/>
      <c r="BI139" s="538"/>
      <c r="BJ139" s="538"/>
      <c r="BK139" s="538"/>
      <c r="BL139" s="538"/>
      <c r="BM139" s="538"/>
      <c r="BN139" s="538"/>
      <c r="BO139" s="538"/>
      <c r="BP139" s="538"/>
      <c r="BQ139" s="538"/>
      <c r="BR139" s="539"/>
      <c r="BS139" s="539"/>
      <c r="BT139" s="99"/>
      <c r="BU139" s="107"/>
      <c r="BV139" s="371" t="s">
        <v>96</v>
      </c>
      <c r="BW139" s="372"/>
      <c r="BX139" s="372"/>
      <c r="BY139" s="372"/>
      <c r="BZ139" s="372"/>
      <c r="CA139" s="372"/>
      <c r="CB139" s="372"/>
      <c r="CC139" s="57"/>
      <c r="CD139" s="90"/>
      <c r="CE139" s="90"/>
      <c r="CF139" s="90"/>
    </row>
    <row r="140" spans="1:84" ht="4.5" customHeight="1">
      <c r="A140" s="96"/>
      <c r="B140" s="96"/>
      <c r="C140" s="96"/>
      <c r="D140" s="96"/>
      <c r="E140" s="96"/>
      <c r="F140" s="96"/>
      <c r="G140" s="97"/>
      <c r="H140" s="96"/>
      <c r="I140" s="96"/>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549"/>
      <c r="AI140" s="549"/>
      <c r="AJ140" s="549"/>
      <c r="AK140" s="549"/>
      <c r="AL140" s="549"/>
      <c r="AM140" s="549"/>
      <c r="AN140" s="549"/>
      <c r="AO140" s="549"/>
      <c r="AP140" s="549"/>
      <c r="AQ140" s="549"/>
      <c r="AR140" s="538"/>
      <c r="AS140" s="538"/>
      <c r="AT140" s="538"/>
      <c r="AU140" s="538"/>
      <c r="AV140" s="538"/>
      <c r="AW140" s="538"/>
      <c r="AX140" s="538"/>
      <c r="AY140" s="538"/>
      <c r="AZ140" s="538"/>
      <c r="BA140" s="538"/>
      <c r="BB140" s="538"/>
      <c r="BC140" s="538"/>
      <c r="BD140" s="538"/>
      <c r="BE140" s="538"/>
      <c r="BF140" s="538"/>
      <c r="BG140" s="538"/>
      <c r="BH140" s="538"/>
      <c r="BI140" s="538"/>
      <c r="BJ140" s="538"/>
      <c r="BK140" s="538"/>
      <c r="BL140" s="538"/>
      <c r="BM140" s="538"/>
      <c r="BN140" s="538"/>
      <c r="BO140" s="538"/>
      <c r="BP140" s="538"/>
      <c r="BQ140" s="538"/>
      <c r="BR140" s="539"/>
      <c r="BS140" s="539"/>
      <c r="BT140" s="99"/>
      <c r="BU140" s="107"/>
      <c r="BV140" s="371"/>
      <c r="BW140" s="372"/>
      <c r="BX140" s="372"/>
      <c r="BY140" s="372"/>
      <c r="BZ140" s="372"/>
      <c r="CA140" s="372"/>
      <c r="CB140" s="372"/>
      <c r="CC140" s="57"/>
      <c r="CD140" s="90"/>
      <c r="CE140" s="90"/>
      <c r="CF140" s="90"/>
    </row>
    <row r="141" spans="1:84" ht="15" customHeight="1">
      <c r="A141" s="96"/>
      <c r="B141" s="96"/>
      <c r="C141" s="96"/>
      <c r="D141" s="96"/>
      <c r="E141" s="96"/>
      <c r="F141" s="96"/>
      <c r="G141" s="97"/>
      <c r="H141" s="96"/>
      <c r="I141" s="96"/>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549"/>
      <c r="AI141" s="549"/>
      <c r="AJ141" s="549"/>
      <c r="AK141" s="549"/>
      <c r="AL141" s="549"/>
      <c r="AM141" s="549"/>
      <c r="AN141" s="549"/>
      <c r="AO141" s="549"/>
      <c r="AP141" s="549"/>
      <c r="AQ141" s="549"/>
      <c r="AR141" s="538"/>
      <c r="AS141" s="538"/>
      <c r="AT141" s="538"/>
      <c r="AU141" s="538"/>
      <c r="AV141" s="538"/>
      <c r="AW141" s="538"/>
      <c r="AX141" s="538"/>
      <c r="AY141" s="538"/>
      <c r="AZ141" s="538"/>
      <c r="BA141" s="538"/>
      <c r="BB141" s="538"/>
      <c r="BC141" s="538"/>
      <c r="BD141" s="538"/>
      <c r="BE141" s="538"/>
      <c r="BF141" s="538"/>
      <c r="BG141" s="538"/>
      <c r="BH141" s="538"/>
      <c r="BI141" s="538"/>
      <c r="BJ141" s="538"/>
      <c r="BK141" s="538"/>
      <c r="BL141" s="538"/>
      <c r="BM141" s="538"/>
      <c r="BN141" s="538"/>
      <c r="BO141" s="538"/>
      <c r="BP141" s="538"/>
      <c r="BQ141" s="538"/>
      <c r="BR141" s="539"/>
      <c r="BS141" s="539"/>
      <c r="BT141" s="99"/>
      <c r="BU141" s="107"/>
      <c r="BV141" s="1020" t="s">
        <v>97</v>
      </c>
      <c r="BW141" s="1016" t="s">
        <v>49</v>
      </c>
      <c r="BX141" s="1016"/>
      <c r="BY141" s="1016"/>
      <c r="BZ141" s="1016" t="s">
        <v>37</v>
      </c>
      <c r="CA141" s="1016"/>
      <c r="CB141" s="1016"/>
      <c r="CC141" s="57"/>
      <c r="CD141" s="90"/>
      <c r="CE141" s="90"/>
      <c r="CF141" s="90"/>
    </row>
    <row r="142" spans="1:84" ht="15" customHeight="1">
      <c r="A142" s="96"/>
      <c r="B142" s="96"/>
      <c r="C142" s="96"/>
      <c r="D142" s="96"/>
      <c r="E142" s="96"/>
      <c r="F142" s="96"/>
      <c r="G142" s="97"/>
      <c r="H142" s="96"/>
      <c r="I142" s="96"/>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549"/>
      <c r="AI142" s="549"/>
      <c r="AJ142" s="549"/>
      <c r="AK142" s="549"/>
      <c r="AL142" s="549"/>
      <c r="AM142" s="549"/>
      <c r="AN142" s="549"/>
      <c r="AO142" s="549"/>
      <c r="AP142" s="549"/>
      <c r="AQ142" s="549"/>
      <c r="AR142" s="538"/>
      <c r="AS142" s="538"/>
      <c r="AT142" s="538"/>
      <c r="AU142" s="538"/>
      <c r="AV142" s="538"/>
      <c r="AW142" s="538"/>
      <c r="AX142" s="538"/>
      <c r="AY142" s="538"/>
      <c r="AZ142" s="538"/>
      <c r="BA142" s="538"/>
      <c r="BB142" s="538"/>
      <c r="BC142" s="538"/>
      <c r="BD142" s="538"/>
      <c r="BE142" s="538"/>
      <c r="BF142" s="538"/>
      <c r="BG142" s="538"/>
      <c r="BH142" s="538"/>
      <c r="BI142" s="538"/>
      <c r="BJ142" s="538"/>
      <c r="BK142" s="538"/>
      <c r="BL142" s="538"/>
      <c r="BM142" s="538"/>
      <c r="BN142" s="538"/>
      <c r="BO142" s="538"/>
      <c r="BP142" s="538"/>
      <c r="BQ142" s="538"/>
      <c r="BR142" s="539"/>
      <c r="BS142" s="539"/>
      <c r="BT142" s="99"/>
      <c r="BU142" s="107"/>
      <c r="BV142" s="1020"/>
      <c r="BW142" s="1016" t="s">
        <v>59</v>
      </c>
      <c r="BX142" s="1016"/>
      <c r="BY142" s="1016"/>
      <c r="BZ142" s="1016" t="s">
        <v>59</v>
      </c>
      <c r="CA142" s="1016"/>
      <c r="CB142" s="1016"/>
      <c r="CC142" s="57"/>
      <c r="CD142" s="90"/>
      <c r="CE142" s="90"/>
      <c r="CF142" s="90"/>
    </row>
    <row r="143" spans="1:84" ht="12.95" customHeight="1">
      <c r="A143" s="96"/>
      <c r="B143" s="96"/>
      <c r="C143" s="96"/>
      <c r="D143" s="96"/>
      <c r="E143" s="96"/>
      <c r="F143" s="96"/>
      <c r="G143" s="97"/>
      <c r="H143" s="96"/>
      <c r="I143" s="96"/>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549"/>
      <c r="AI143" s="549"/>
      <c r="AJ143" s="549"/>
      <c r="AK143" s="549"/>
      <c r="AL143" s="549"/>
      <c r="AM143" s="549"/>
      <c r="AN143" s="549"/>
      <c r="AO143" s="549"/>
      <c r="AP143" s="549"/>
      <c r="AQ143" s="549"/>
      <c r="AR143" s="538"/>
      <c r="AS143" s="538"/>
      <c r="AT143" s="538"/>
      <c r="AU143" s="538"/>
      <c r="AV143" s="538"/>
      <c r="AW143" s="538"/>
      <c r="AX143" s="538"/>
      <c r="AY143" s="538"/>
      <c r="AZ143" s="538"/>
      <c r="BA143" s="538"/>
      <c r="BB143" s="538"/>
      <c r="BC143" s="538"/>
      <c r="BD143" s="538"/>
      <c r="BE143" s="538"/>
      <c r="BF143" s="538"/>
      <c r="BG143" s="538"/>
      <c r="BH143" s="538"/>
      <c r="BI143" s="538"/>
      <c r="BJ143" s="538"/>
      <c r="BK143" s="538"/>
      <c r="BL143" s="538"/>
      <c r="BM143" s="538"/>
      <c r="BN143" s="538"/>
      <c r="BO143" s="538"/>
      <c r="BP143" s="538"/>
      <c r="BQ143" s="538"/>
      <c r="BR143" s="539"/>
      <c r="BS143" s="539"/>
      <c r="BT143" s="99"/>
      <c r="BU143" s="107"/>
      <c r="BV143" s="1020"/>
      <c r="BW143" s="1020" t="s">
        <v>98</v>
      </c>
      <c r="BX143" s="1017" t="s">
        <v>99</v>
      </c>
      <c r="BY143" s="1017" t="s">
        <v>100</v>
      </c>
      <c r="BZ143" s="1020" t="s">
        <v>98</v>
      </c>
      <c r="CA143" s="1017" t="s">
        <v>101</v>
      </c>
      <c r="CB143" s="1017" t="s">
        <v>102</v>
      </c>
      <c r="CC143" s="57"/>
      <c r="CD143" s="90"/>
      <c r="CE143" s="90"/>
      <c r="CF143" s="90"/>
    </row>
    <row r="144" spans="1:84" ht="38.25" customHeight="1">
      <c r="A144" s="96"/>
      <c r="B144" s="96"/>
      <c r="C144" s="96"/>
      <c r="D144" s="96"/>
      <c r="E144" s="96"/>
      <c r="F144" s="96"/>
      <c r="G144" s="97"/>
      <c r="H144" s="96"/>
      <c r="I144" s="96"/>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549"/>
      <c r="AI144" s="549"/>
      <c r="AJ144" s="549"/>
      <c r="AK144" s="549"/>
      <c r="AL144" s="549"/>
      <c r="AM144" s="549"/>
      <c r="AN144" s="549"/>
      <c r="AO144" s="549"/>
      <c r="AP144" s="549"/>
      <c r="AQ144" s="549"/>
      <c r="AR144" s="538"/>
      <c r="AS144" s="538"/>
      <c r="AT144" s="538"/>
      <c r="AU144" s="538"/>
      <c r="AV144" s="538"/>
      <c r="AW144" s="538"/>
      <c r="AX144" s="538"/>
      <c r="AY144" s="538"/>
      <c r="AZ144" s="538"/>
      <c r="BA144" s="538"/>
      <c r="BB144" s="538"/>
      <c r="BC144" s="538"/>
      <c r="BD144" s="538"/>
      <c r="BE144" s="538"/>
      <c r="BF144" s="538"/>
      <c r="BG144" s="538"/>
      <c r="BH144" s="538"/>
      <c r="BI144" s="538"/>
      <c r="BJ144" s="538"/>
      <c r="BK144" s="538"/>
      <c r="BL144" s="538"/>
      <c r="BM144" s="538"/>
      <c r="BN144" s="538"/>
      <c r="BO144" s="538"/>
      <c r="BP144" s="538"/>
      <c r="BQ144" s="538"/>
      <c r="BR144" s="539"/>
      <c r="BS144" s="539"/>
      <c r="BT144" s="99"/>
      <c r="BU144" s="107"/>
      <c r="BV144" s="1020"/>
      <c r="BW144" s="1020"/>
      <c r="BX144" s="1017"/>
      <c r="BY144" s="1017"/>
      <c r="BZ144" s="1020"/>
      <c r="CA144" s="1017"/>
      <c r="CB144" s="1017"/>
      <c r="CC144" s="57"/>
      <c r="CD144" s="90"/>
      <c r="CE144" s="90"/>
      <c r="CF144" s="90"/>
    </row>
    <row r="145" spans="1:84" ht="25.5">
      <c r="A145" s="96"/>
      <c r="B145" s="96"/>
      <c r="C145" s="96"/>
      <c r="D145" s="96"/>
      <c r="E145" s="96"/>
      <c r="F145" s="96"/>
      <c r="G145" s="97"/>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9"/>
      <c r="AI145" s="99"/>
      <c r="AJ145" s="99"/>
      <c r="AK145" s="99"/>
      <c r="AL145" s="99"/>
      <c r="AM145" s="99"/>
      <c r="AN145" s="99"/>
      <c r="AO145" s="99"/>
      <c r="AP145" s="99"/>
      <c r="AQ145" s="99"/>
      <c r="AR145" s="539"/>
      <c r="AS145" s="539"/>
      <c r="AT145" s="539"/>
      <c r="AU145" s="539"/>
      <c r="AV145" s="539"/>
      <c r="AW145" s="539"/>
      <c r="AX145" s="539"/>
      <c r="AY145" s="539"/>
      <c r="AZ145" s="539"/>
      <c r="BA145" s="539"/>
      <c r="BB145" s="539"/>
      <c r="BC145" s="539"/>
      <c r="BD145" s="539"/>
      <c r="BE145" s="539"/>
      <c r="BF145" s="539"/>
      <c r="BG145" s="539"/>
      <c r="BH145" s="539"/>
      <c r="BI145" s="539"/>
      <c r="BJ145" s="539"/>
      <c r="BK145" s="539"/>
      <c r="BL145" s="539"/>
      <c r="BM145" s="539"/>
      <c r="BN145" s="539"/>
      <c r="BO145" s="539"/>
      <c r="BP145" s="539"/>
      <c r="BQ145" s="539"/>
      <c r="BR145" s="539"/>
      <c r="BS145" s="539"/>
      <c r="BT145" s="99"/>
      <c r="BU145" s="107"/>
      <c r="BV145" s="537" t="s">
        <v>103</v>
      </c>
      <c r="BW145" s="537" t="s">
        <v>104</v>
      </c>
      <c r="BX145" s="537" t="s">
        <v>105</v>
      </c>
      <c r="BY145" s="537" t="s">
        <v>106</v>
      </c>
      <c r="BZ145" s="537" t="s">
        <v>107</v>
      </c>
      <c r="CA145" s="537" t="s">
        <v>108</v>
      </c>
      <c r="CB145" s="537" t="s">
        <v>109</v>
      </c>
      <c r="CC145" s="57"/>
      <c r="CD145" s="90"/>
      <c r="CE145" s="90"/>
      <c r="CF145" s="90"/>
    </row>
    <row r="146" spans="1:84" ht="51">
      <c r="A146" s="96"/>
      <c r="B146" s="96"/>
      <c r="C146" s="96"/>
      <c r="D146" s="96"/>
      <c r="E146" s="96"/>
      <c r="F146" s="96"/>
      <c r="G146" s="97"/>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9"/>
      <c r="AI146" s="99"/>
      <c r="AJ146" s="99"/>
      <c r="AK146" s="99"/>
      <c r="AL146" s="99"/>
      <c r="AM146" s="99"/>
      <c r="AN146" s="99"/>
      <c r="AO146" s="99"/>
      <c r="AP146" s="99"/>
      <c r="AQ146" s="99"/>
      <c r="AR146" s="539"/>
      <c r="AS146" s="539"/>
      <c r="AT146" s="539"/>
      <c r="AU146" s="539"/>
      <c r="AV146" s="539"/>
      <c r="AW146" s="539"/>
      <c r="AX146" s="539"/>
      <c r="AY146" s="539"/>
      <c r="AZ146" s="539"/>
      <c r="BA146" s="539"/>
      <c r="BB146" s="539"/>
      <c r="BC146" s="539"/>
      <c r="BD146" s="539"/>
      <c r="BE146" s="539"/>
      <c r="BF146" s="539"/>
      <c r="BG146" s="539"/>
      <c r="BH146" s="539"/>
      <c r="BI146" s="539"/>
      <c r="BJ146" s="539"/>
      <c r="BK146" s="539"/>
      <c r="BL146" s="539"/>
      <c r="BM146" s="539"/>
      <c r="BN146" s="539"/>
      <c r="BO146" s="539"/>
      <c r="BP146" s="539"/>
      <c r="BQ146" s="539"/>
      <c r="BR146" s="539"/>
      <c r="BS146" s="539"/>
      <c r="BT146" s="99"/>
      <c r="BU146" s="107"/>
      <c r="BV146" s="537" t="s">
        <v>72</v>
      </c>
      <c r="BW146" s="537" t="s">
        <v>105</v>
      </c>
      <c r="BX146" s="537" t="s">
        <v>110</v>
      </c>
      <c r="BY146" s="537" t="s">
        <v>111</v>
      </c>
      <c r="BZ146" s="537" t="s">
        <v>108</v>
      </c>
      <c r="CA146" s="537" t="s">
        <v>112</v>
      </c>
      <c r="CB146" s="537" t="s">
        <v>113</v>
      </c>
      <c r="CC146" s="57"/>
      <c r="CD146" s="90"/>
      <c r="CE146" s="90"/>
      <c r="CF146" s="90"/>
    </row>
    <row r="147" spans="1:84" ht="25.5">
      <c r="A147" s="96"/>
      <c r="B147" s="96"/>
      <c r="C147" s="96"/>
      <c r="D147" s="96"/>
      <c r="E147" s="96"/>
      <c r="F147" s="96"/>
      <c r="G147" s="97"/>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107"/>
      <c r="BV147" s="537" t="s">
        <v>77</v>
      </c>
      <c r="BW147" s="537" t="s">
        <v>114</v>
      </c>
      <c r="BX147" s="537" t="s">
        <v>115</v>
      </c>
      <c r="BY147" s="537" t="s">
        <v>116</v>
      </c>
      <c r="BZ147" s="537" t="s">
        <v>117</v>
      </c>
      <c r="CA147" s="537" t="s">
        <v>118</v>
      </c>
      <c r="CB147" s="537" t="s">
        <v>119</v>
      </c>
      <c r="CC147" s="57"/>
      <c r="CD147" s="90"/>
      <c r="CE147" s="90"/>
      <c r="CF147" s="90"/>
    </row>
    <row r="148" spans="1:84">
      <c r="A148" s="96"/>
      <c r="B148" s="96"/>
      <c r="C148" s="96"/>
      <c r="D148" s="96"/>
      <c r="E148" s="96"/>
      <c r="F148" s="96"/>
      <c r="G148" s="97"/>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107"/>
      <c r="BV148" s="372"/>
      <c r="BW148" s="372"/>
      <c r="BX148" s="372"/>
      <c r="BY148" s="372"/>
      <c r="BZ148" s="372"/>
      <c r="CA148" s="372"/>
      <c r="CB148" s="372"/>
      <c r="CC148" s="57"/>
      <c r="CD148" s="90"/>
      <c r="CE148" s="90"/>
      <c r="CF148" s="90"/>
    </row>
    <row r="149" spans="1:84">
      <c r="A149" s="96"/>
      <c r="B149" s="96"/>
      <c r="C149" s="96"/>
      <c r="D149" s="96"/>
      <c r="E149" s="96"/>
      <c r="F149" s="96"/>
      <c r="G149" s="97"/>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107"/>
      <c r="BV149" s="536" t="s">
        <v>120</v>
      </c>
      <c r="BW149" s="372"/>
      <c r="BX149" s="372"/>
      <c r="BY149" s="372"/>
      <c r="BZ149" s="372"/>
      <c r="CA149" s="372"/>
      <c r="CB149" s="372"/>
      <c r="CC149" s="57"/>
      <c r="CD149" s="90"/>
      <c r="CE149" s="90"/>
      <c r="CF149" s="90"/>
    </row>
    <row r="150" spans="1:84">
      <c r="A150" s="96"/>
      <c r="B150" s="96"/>
      <c r="C150" s="96"/>
      <c r="D150" s="96"/>
      <c r="E150" s="96"/>
      <c r="F150" s="96"/>
      <c r="G150" s="97"/>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107"/>
      <c r="BV150" s="373"/>
      <c r="BW150" s="372"/>
      <c r="BX150" s="372"/>
      <c r="BY150" s="372"/>
      <c r="BZ150" s="372"/>
      <c r="CA150" s="372"/>
      <c r="CB150" s="372"/>
      <c r="CC150" s="57"/>
      <c r="CD150" s="90"/>
      <c r="CE150" s="90"/>
      <c r="CF150" s="90"/>
    </row>
    <row r="151" spans="1:84" ht="15" customHeight="1">
      <c r="A151" s="96"/>
      <c r="B151" s="96"/>
      <c r="C151" s="96"/>
      <c r="D151" s="96"/>
      <c r="E151" s="96"/>
      <c r="F151" s="96"/>
      <c r="G151" s="97"/>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107"/>
      <c r="BV151" s="1016" t="s">
        <v>121</v>
      </c>
      <c r="BW151" s="1016"/>
      <c r="BX151" s="1016"/>
      <c r="BY151" s="1016"/>
      <c r="BZ151" s="1016"/>
      <c r="CA151" s="1016"/>
      <c r="CB151" s="535" t="s">
        <v>122</v>
      </c>
      <c r="CC151" s="57"/>
      <c r="CD151" s="90"/>
      <c r="CE151" s="90"/>
      <c r="CF151" s="90"/>
    </row>
    <row r="152" spans="1:84" ht="15" customHeight="1">
      <c r="A152" s="96"/>
      <c r="B152" s="96"/>
      <c r="C152" s="96"/>
      <c r="D152" s="96"/>
      <c r="E152" s="96"/>
      <c r="F152" s="96"/>
      <c r="G152" s="97"/>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107"/>
      <c r="BV152" s="1018" t="s">
        <v>123</v>
      </c>
      <c r="BW152" s="1018"/>
      <c r="BX152" s="1018"/>
      <c r="BY152" s="1018"/>
      <c r="BZ152" s="1018"/>
      <c r="CA152" s="1018"/>
      <c r="CB152" s="535">
        <v>1468</v>
      </c>
      <c r="CC152" s="57"/>
      <c r="CD152" s="90"/>
      <c r="CE152" s="90"/>
      <c r="CF152" s="90"/>
    </row>
    <row r="153" spans="1:84" ht="15" customHeight="1">
      <c r="A153" s="96"/>
      <c r="B153" s="96"/>
      <c r="C153" s="96"/>
      <c r="D153" s="96"/>
      <c r="E153" s="96"/>
      <c r="F153" s="96"/>
      <c r="G153" s="97"/>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BN153" s="96"/>
      <c r="BO153" s="96"/>
      <c r="BP153" s="96"/>
      <c r="BQ153" s="96"/>
      <c r="BR153" s="96"/>
      <c r="BS153" s="96"/>
      <c r="BT153" s="96"/>
      <c r="BU153" s="107"/>
      <c r="BV153" s="1018" t="s">
        <v>124</v>
      </c>
      <c r="BW153" s="1018"/>
      <c r="BX153" s="1018"/>
      <c r="BY153" s="1018"/>
      <c r="BZ153" s="1018"/>
      <c r="CA153" s="1018"/>
      <c r="CB153" s="535">
        <v>1598</v>
      </c>
      <c r="CC153" s="57"/>
      <c r="CD153" s="90"/>
      <c r="CE153" s="90"/>
      <c r="CF153" s="90"/>
    </row>
    <row r="154" spans="1:84" ht="15" customHeight="1">
      <c r="A154" s="96"/>
      <c r="B154" s="96"/>
      <c r="C154" s="96"/>
      <c r="D154" s="96"/>
      <c r="E154" s="96"/>
      <c r="F154" s="96"/>
      <c r="G154" s="97"/>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107"/>
      <c r="BV154" s="1018" t="s">
        <v>125</v>
      </c>
      <c r="BW154" s="1018"/>
      <c r="BX154" s="1018"/>
      <c r="BY154" s="1018"/>
      <c r="BZ154" s="1018"/>
      <c r="CA154" s="1018"/>
      <c r="CB154" s="535">
        <v>4931</v>
      </c>
      <c r="CC154" s="57"/>
      <c r="CD154" s="90"/>
      <c r="CE154" s="90"/>
      <c r="CF154" s="90"/>
    </row>
    <row r="155" spans="1:84">
      <c r="A155" s="96"/>
      <c r="B155" s="96"/>
      <c r="C155" s="96"/>
      <c r="D155" s="96"/>
      <c r="E155" s="96"/>
      <c r="F155" s="96"/>
      <c r="G155" s="97"/>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c r="BO155" s="96"/>
      <c r="BP155" s="96"/>
      <c r="BQ155" s="96"/>
      <c r="BR155" s="96"/>
      <c r="BS155" s="96"/>
      <c r="BT155" s="96"/>
      <c r="BU155" s="107"/>
      <c r="BV155" s="372"/>
      <c r="BW155" s="372"/>
      <c r="BX155" s="372"/>
      <c r="BY155" s="372"/>
      <c r="BZ155" s="372"/>
      <c r="CA155" s="372"/>
      <c r="CB155" s="372"/>
      <c r="CC155" s="57"/>
      <c r="CD155" s="90"/>
      <c r="CE155" s="90"/>
      <c r="CF155" s="90"/>
    </row>
    <row r="156" spans="1:84">
      <c r="A156" s="96"/>
      <c r="B156" s="96"/>
      <c r="C156" s="96"/>
      <c r="D156" s="96"/>
      <c r="E156" s="96"/>
      <c r="F156" s="96"/>
      <c r="G156" s="97"/>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BN156" s="96"/>
      <c r="BO156" s="96"/>
      <c r="BP156" s="96"/>
      <c r="BQ156" s="96"/>
      <c r="BR156" s="96"/>
      <c r="BS156" s="96"/>
      <c r="BT156" s="96"/>
      <c r="BU156" s="107"/>
      <c r="BV156" s="1019" t="s">
        <v>126</v>
      </c>
      <c r="BW156" s="1019"/>
      <c r="BX156" s="1019"/>
      <c r="BY156" s="1019"/>
      <c r="BZ156" s="1019"/>
      <c r="CA156" s="372"/>
      <c r="CB156" s="372"/>
      <c r="CC156" s="57"/>
      <c r="CD156" s="90"/>
      <c r="CE156" s="90"/>
      <c r="CF156" s="90"/>
    </row>
    <row r="157" spans="1:84">
      <c r="A157" s="96"/>
      <c r="B157" s="96"/>
      <c r="C157" s="96"/>
      <c r="D157" s="96"/>
      <c r="E157" s="96"/>
      <c r="F157" s="96"/>
      <c r="G157" s="97"/>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107"/>
      <c r="BV157" s="372"/>
      <c r="BW157" s="372"/>
      <c r="BX157" s="372"/>
      <c r="BY157" s="372"/>
      <c r="BZ157" s="372"/>
      <c r="CA157" s="372"/>
      <c r="CB157" s="372"/>
      <c r="CC157" s="57"/>
      <c r="CD157" s="90"/>
      <c r="CE157" s="90"/>
      <c r="CF157" s="90"/>
    </row>
    <row r="158" spans="1:84" ht="12.95" customHeight="1">
      <c r="A158" s="96"/>
      <c r="B158" s="96"/>
      <c r="C158" s="96"/>
      <c r="D158" s="96"/>
      <c r="E158" s="96"/>
      <c r="F158" s="96"/>
      <c r="G158" s="97"/>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107"/>
      <c r="BV158" s="1016" t="s">
        <v>127</v>
      </c>
      <c r="BW158" s="1016"/>
      <c r="BX158" s="1016"/>
      <c r="BY158" s="1016"/>
      <c r="BZ158" s="1016"/>
      <c r="CA158" s="1016"/>
      <c r="CB158" s="1016"/>
      <c r="CC158" s="57"/>
      <c r="CD158" s="90"/>
      <c r="CE158" s="90"/>
      <c r="CF158" s="90"/>
    </row>
    <row r="159" spans="1:84">
      <c r="A159" s="96"/>
      <c r="B159" s="96"/>
      <c r="C159" s="96"/>
      <c r="D159" s="96"/>
      <c r="E159" s="96"/>
      <c r="F159" s="96"/>
      <c r="G159" s="97"/>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107"/>
      <c r="BV159" s="1016"/>
      <c r="BW159" s="1016"/>
      <c r="BX159" s="1016"/>
      <c r="BY159" s="1016"/>
      <c r="BZ159" s="1016"/>
      <c r="CA159" s="1016"/>
      <c r="CB159" s="1016"/>
      <c r="CC159" s="57"/>
      <c r="CD159" s="90"/>
      <c r="CE159" s="90"/>
      <c r="CF159" s="90"/>
    </row>
    <row r="160" spans="1:84" ht="15" customHeight="1">
      <c r="A160" s="96"/>
      <c r="B160" s="96"/>
      <c r="C160" s="96"/>
      <c r="D160" s="96"/>
      <c r="E160" s="96"/>
      <c r="F160" s="96"/>
      <c r="G160" s="97"/>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96"/>
      <c r="BQ160" s="96"/>
      <c r="BR160" s="96"/>
      <c r="BS160" s="96"/>
      <c r="BT160" s="96"/>
      <c r="BU160" s="107"/>
      <c r="BV160" s="535" t="s">
        <v>128</v>
      </c>
      <c r="BW160" s="1016" t="s">
        <v>129</v>
      </c>
      <c r="BX160" s="1016"/>
      <c r="BY160" s="1016"/>
      <c r="BZ160" s="1016"/>
      <c r="CA160" s="1016"/>
      <c r="CB160" s="1016"/>
      <c r="CC160" s="57"/>
      <c r="CD160" s="90"/>
      <c r="CE160" s="90"/>
      <c r="CF160" s="90"/>
    </row>
    <row r="161" spans="1:84" ht="15" customHeight="1">
      <c r="A161" s="96"/>
      <c r="B161" s="96"/>
      <c r="C161" s="96"/>
      <c r="D161" s="96"/>
      <c r="E161" s="96"/>
      <c r="F161" s="96"/>
      <c r="G161" s="97"/>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107"/>
      <c r="BV161" s="535" t="s">
        <v>130</v>
      </c>
      <c r="BW161" s="1016" t="s">
        <v>131</v>
      </c>
      <c r="BX161" s="1016"/>
      <c r="BY161" s="1016"/>
      <c r="BZ161" s="1016"/>
      <c r="CA161" s="1016"/>
      <c r="CB161" s="1016"/>
      <c r="CC161" s="57"/>
      <c r="CD161" s="90"/>
      <c r="CE161" s="90"/>
      <c r="CF161" s="90"/>
    </row>
    <row r="162" spans="1:84" ht="12.95" customHeight="1">
      <c r="A162" s="96"/>
      <c r="B162" s="96"/>
      <c r="C162" s="96"/>
      <c r="D162" s="96"/>
      <c r="E162" s="96"/>
      <c r="F162" s="96"/>
      <c r="G162" s="97"/>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107"/>
      <c r="BV162" s="535" t="s">
        <v>132</v>
      </c>
      <c r="BW162" s="1016" t="s">
        <v>133</v>
      </c>
      <c r="BX162" s="1016"/>
      <c r="BY162" s="1016"/>
      <c r="BZ162" s="1016"/>
      <c r="CA162" s="1016"/>
      <c r="CB162" s="1016"/>
      <c r="CC162" s="57"/>
      <c r="CD162" s="90"/>
      <c r="CE162" s="90"/>
      <c r="CF162" s="90"/>
    </row>
    <row r="163" spans="1:84" ht="15.75" customHeight="1">
      <c r="A163" s="96"/>
      <c r="B163" s="96"/>
      <c r="C163" s="96"/>
      <c r="D163" s="96"/>
      <c r="E163" s="96"/>
      <c r="F163" s="96"/>
      <c r="G163" s="97"/>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107"/>
      <c r="BV163" s="535" t="s">
        <v>134</v>
      </c>
      <c r="BW163" s="1016" t="s">
        <v>135</v>
      </c>
      <c r="BX163" s="1016"/>
      <c r="BY163" s="1016"/>
      <c r="BZ163" s="1016"/>
      <c r="CA163" s="1016"/>
      <c r="CB163" s="1016"/>
      <c r="CC163" s="57"/>
      <c r="CD163" s="90"/>
      <c r="CE163" s="90"/>
      <c r="CF163" s="90"/>
    </row>
    <row r="164" spans="1:84">
      <c r="A164" s="96"/>
      <c r="B164" s="96"/>
      <c r="C164" s="96"/>
      <c r="D164" s="96"/>
      <c r="E164" s="96"/>
      <c r="F164" s="96"/>
      <c r="G164" s="97"/>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96"/>
      <c r="BQ164" s="96"/>
      <c r="BR164" s="96"/>
      <c r="BS164" s="96"/>
      <c r="BT164" s="96"/>
      <c r="BU164" s="107"/>
      <c r="BV164" s="107"/>
      <c r="BW164" s="107"/>
      <c r="BX164" s="107"/>
      <c r="BY164" s="107"/>
      <c r="BZ164" s="107"/>
      <c r="CA164" s="107"/>
      <c r="CB164" s="107"/>
      <c r="CC164" s="57"/>
      <c r="CD164" s="90"/>
      <c r="CE164" s="90"/>
      <c r="CF164" s="90"/>
    </row>
    <row r="165" spans="1:84">
      <c r="A165" s="96"/>
      <c r="B165" s="96"/>
      <c r="C165" s="96"/>
      <c r="D165" s="96"/>
      <c r="E165" s="96"/>
      <c r="F165" s="96"/>
      <c r="G165" s="97"/>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96"/>
      <c r="BQ165" s="96"/>
      <c r="BR165" s="533"/>
      <c r="BS165" s="374"/>
      <c r="BT165" s="374"/>
      <c r="BU165" s="375"/>
      <c r="BV165" s="1012"/>
      <c r="BW165" s="1012"/>
      <c r="BX165" s="1012"/>
      <c r="BY165" s="107"/>
      <c r="BZ165" s="107"/>
      <c r="CA165" s="107"/>
      <c r="CB165" s="107"/>
      <c r="CC165" s="57"/>
      <c r="CD165" s="90"/>
      <c r="CE165" s="90"/>
      <c r="CF165" s="90"/>
    </row>
    <row r="166" spans="1:84">
      <c r="A166" s="96"/>
      <c r="B166" s="96"/>
      <c r="C166" s="96"/>
      <c r="D166" s="96"/>
      <c r="E166" s="96"/>
      <c r="F166" s="96"/>
      <c r="G166" s="97"/>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533"/>
      <c r="BS166" s="374"/>
      <c r="BT166" s="374"/>
      <c r="BU166" s="374"/>
      <c r="BV166" s="1012"/>
      <c r="BW166" s="1012"/>
      <c r="BX166" s="1012"/>
      <c r="BY166" s="96"/>
      <c r="BZ166" s="96"/>
      <c r="CA166" s="96"/>
      <c r="CB166" s="96"/>
      <c r="CC166" s="90"/>
      <c r="CD166" s="90"/>
      <c r="CE166" s="90"/>
      <c r="CF166" s="90"/>
    </row>
    <row r="167" spans="1:84">
      <c r="A167" s="96"/>
      <c r="B167" s="96"/>
      <c r="C167" s="96"/>
      <c r="D167" s="96"/>
      <c r="E167" s="96"/>
      <c r="F167" s="96"/>
      <c r="G167" s="97"/>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6"/>
      <c r="BP167" s="96"/>
      <c r="BQ167" s="96"/>
      <c r="BR167" s="533"/>
      <c r="BS167" s="374"/>
      <c r="BT167" s="374"/>
      <c r="BU167" s="374"/>
      <c r="BV167" s="1012"/>
      <c r="BW167" s="1012"/>
      <c r="BX167" s="1012"/>
      <c r="BY167" s="96"/>
      <c r="BZ167" s="96"/>
      <c r="CA167" s="96"/>
      <c r="CB167" s="96"/>
      <c r="CC167" s="90"/>
      <c r="CD167" s="90"/>
      <c r="CE167" s="90"/>
      <c r="CF167" s="90"/>
    </row>
    <row r="168" spans="1:84" ht="15" customHeight="1">
      <c r="A168" s="96"/>
      <c r="B168" s="96"/>
      <c r="C168" s="96"/>
      <c r="D168" s="96"/>
      <c r="E168" s="96"/>
      <c r="F168" s="96"/>
      <c r="G168" s="97"/>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533"/>
      <c r="BS168" s="1013"/>
      <c r="BT168" s="1013"/>
      <c r="BU168" s="1013"/>
      <c r="BV168" s="1013"/>
      <c r="BW168" s="1013"/>
      <c r="BX168" s="1013"/>
      <c r="BY168" s="96"/>
      <c r="BZ168" s="96"/>
      <c r="CA168" s="96"/>
      <c r="CB168" s="96"/>
      <c r="CC168" s="90"/>
      <c r="CD168" s="90"/>
      <c r="CE168" s="90"/>
      <c r="CF168" s="90"/>
    </row>
    <row r="169" spans="1:84">
      <c r="A169" s="96"/>
      <c r="B169" s="96"/>
      <c r="C169" s="96"/>
      <c r="D169" s="96"/>
      <c r="E169" s="96"/>
      <c r="F169" s="96"/>
      <c r="G169" s="97"/>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533"/>
      <c r="BS169" s="1013"/>
      <c r="BT169" s="1013"/>
      <c r="BU169" s="1013"/>
      <c r="BV169" s="1013"/>
      <c r="BW169" s="1013"/>
      <c r="BX169" s="1013"/>
      <c r="BY169" s="96"/>
      <c r="BZ169" s="96"/>
      <c r="CA169" s="96"/>
      <c r="CB169" s="96"/>
      <c r="CC169" s="90"/>
      <c r="CD169" s="90"/>
      <c r="CE169" s="90"/>
      <c r="CF169" s="90"/>
    </row>
    <row r="170" spans="1:84" ht="15.75" customHeight="1">
      <c r="A170" s="96"/>
      <c r="B170" s="96"/>
      <c r="C170" s="96"/>
      <c r="D170" s="96"/>
      <c r="E170" s="96"/>
      <c r="F170" s="96"/>
      <c r="G170" s="97"/>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534"/>
      <c r="BS170" s="1014"/>
      <c r="BT170" s="1014"/>
      <c r="BU170" s="1014"/>
      <c r="BV170" s="1015"/>
      <c r="BW170" s="1015"/>
      <c r="BX170" s="1015"/>
      <c r="BY170" s="96"/>
      <c r="BZ170" s="96"/>
      <c r="CA170" s="96"/>
      <c r="CB170" s="96"/>
      <c r="CC170" s="90"/>
      <c r="CD170" s="90"/>
      <c r="CE170" s="90"/>
      <c r="CF170" s="90"/>
    </row>
    <row r="171" spans="1:84">
      <c r="A171" s="96"/>
      <c r="B171" s="96"/>
      <c r="C171" s="96"/>
      <c r="D171" s="96"/>
      <c r="E171" s="96"/>
      <c r="F171" s="96"/>
      <c r="G171" s="97"/>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534"/>
      <c r="BS171" s="532"/>
      <c r="BT171" s="1011"/>
      <c r="BU171" s="1011"/>
      <c r="BV171" s="532"/>
      <c r="BW171" s="1011"/>
      <c r="BX171" s="1011"/>
      <c r="BY171" s="96"/>
      <c r="BZ171" s="96"/>
      <c r="CA171" s="96"/>
      <c r="CB171" s="96"/>
      <c r="CC171" s="90"/>
      <c r="CD171" s="90"/>
      <c r="CE171" s="90"/>
      <c r="CF171" s="90"/>
    </row>
    <row r="172" spans="1:84">
      <c r="A172" s="96"/>
      <c r="B172" s="96"/>
      <c r="C172" s="96"/>
      <c r="D172" s="96"/>
      <c r="E172" s="96"/>
      <c r="F172" s="96"/>
      <c r="G172" s="97"/>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534"/>
      <c r="BS172" s="532"/>
      <c r="BT172" s="1011"/>
      <c r="BU172" s="1011"/>
      <c r="BV172" s="532"/>
      <c r="BW172" s="1011"/>
      <c r="BX172" s="1011"/>
      <c r="BY172" s="96"/>
      <c r="BZ172" s="96"/>
      <c r="CA172" s="96"/>
      <c r="CB172" s="96"/>
      <c r="CC172" s="90"/>
      <c r="CD172" s="90"/>
      <c r="CE172" s="90"/>
      <c r="CF172" s="90"/>
    </row>
    <row r="173" spans="1:84">
      <c r="A173" s="96"/>
      <c r="B173" s="96"/>
      <c r="C173" s="96"/>
      <c r="D173" s="96"/>
      <c r="E173" s="96"/>
      <c r="F173" s="96"/>
      <c r="G173" s="97"/>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376"/>
      <c r="BS173" s="533"/>
      <c r="BT173" s="533"/>
      <c r="BU173" s="533"/>
      <c r="BV173" s="533"/>
      <c r="BW173" s="533"/>
      <c r="BX173" s="533"/>
      <c r="BY173" s="96"/>
      <c r="BZ173" s="96"/>
      <c r="CA173" s="96"/>
      <c r="CB173" s="96"/>
      <c r="CC173" s="90"/>
      <c r="CD173" s="90"/>
      <c r="CE173" s="90"/>
      <c r="CF173" s="90"/>
    </row>
    <row r="174" spans="1:84">
      <c r="A174" s="96"/>
      <c r="B174" s="96"/>
      <c r="C174" s="96"/>
      <c r="D174" s="96"/>
      <c r="E174" s="96"/>
      <c r="F174" s="96"/>
      <c r="G174" s="97"/>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c r="BO174" s="96"/>
      <c r="BP174" s="96"/>
      <c r="BQ174" s="96"/>
      <c r="BR174" s="377"/>
      <c r="BS174" s="533"/>
      <c r="BT174" s="533"/>
      <c r="BU174" s="533"/>
      <c r="BV174" s="533"/>
      <c r="BW174" s="533"/>
      <c r="BX174" s="533"/>
      <c r="BY174" s="96"/>
      <c r="BZ174" s="96"/>
      <c r="CA174" s="96"/>
      <c r="CB174" s="96"/>
      <c r="CC174" s="90"/>
      <c r="CD174" s="90"/>
      <c r="CE174" s="90"/>
      <c r="CF174" s="90"/>
    </row>
    <row r="175" spans="1:84">
      <c r="A175" s="96"/>
      <c r="B175" s="96"/>
      <c r="C175" s="96"/>
      <c r="D175" s="96"/>
      <c r="E175" s="96"/>
      <c r="F175" s="96"/>
      <c r="G175" s="97"/>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c r="BO175" s="96"/>
      <c r="BP175" s="96"/>
      <c r="BQ175" s="96"/>
      <c r="BR175" s="376"/>
      <c r="BS175" s="533"/>
      <c r="BT175" s="533"/>
      <c r="BU175" s="533"/>
      <c r="BV175" s="533"/>
      <c r="BW175" s="533"/>
      <c r="BX175" s="533"/>
      <c r="BY175" s="96"/>
      <c r="BZ175" s="96"/>
      <c r="CA175" s="96"/>
      <c r="CB175" s="96"/>
      <c r="CC175" s="90"/>
      <c r="CD175" s="90"/>
      <c r="CE175" s="90"/>
      <c r="CF175" s="90"/>
    </row>
    <row r="176" spans="1:84">
      <c r="A176" s="96"/>
      <c r="B176" s="96"/>
      <c r="C176" s="96"/>
      <c r="D176" s="96"/>
      <c r="E176" s="96"/>
      <c r="F176" s="96"/>
      <c r="G176" s="97"/>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376"/>
      <c r="BS176" s="533"/>
      <c r="BT176" s="533"/>
      <c r="BU176" s="533"/>
      <c r="BV176" s="533"/>
      <c r="BW176" s="533"/>
      <c r="BX176" s="533"/>
      <c r="BY176" s="96"/>
      <c r="BZ176" s="96"/>
      <c r="CA176" s="96"/>
      <c r="CB176" s="96"/>
      <c r="CC176" s="90"/>
      <c r="CD176" s="90"/>
      <c r="CE176" s="90"/>
      <c r="CF176" s="90"/>
    </row>
    <row r="177" spans="1:84">
      <c r="A177" s="96"/>
      <c r="B177" s="96"/>
      <c r="C177" s="96"/>
      <c r="D177" s="96"/>
      <c r="E177" s="96"/>
      <c r="F177" s="96"/>
      <c r="G177" s="97"/>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0"/>
      <c r="CD177" s="90"/>
      <c r="CE177" s="90"/>
      <c r="CF177" s="90"/>
    </row>
    <row r="178" spans="1:84">
      <c r="A178" s="96"/>
      <c r="B178" s="96"/>
      <c r="C178" s="96"/>
      <c r="D178" s="96"/>
      <c r="E178" s="96"/>
      <c r="F178" s="96"/>
      <c r="G178" s="97"/>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0"/>
      <c r="CD178" s="90"/>
      <c r="CE178" s="90"/>
      <c r="CF178" s="90"/>
    </row>
    <row r="179" spans="1:84">
      <c r="A179" s="96"/>
      <c r="B179" s="96"/>
      <c r="C179" s="96"/>
      <c r="D179" s="96"/>
      <c r="E179" s="96"/>
      <c r="F179" s="96"/>
      <c r="G179" s="97"/>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c r="BZ179" s="96"/>
      <c r="CA179" s="96"/>
      <c r="CB179" s="96"/>
      <c r="CC179" s="90"/>
      <c r="CD179" s="90"/>
      <c r="CE179" s="90"/>
      <c r="CF179" s="90"/>
    </row>
    <row r="180" spans="1:84">
      <c r="A180" s="96"/>
      <c r="B180" s="96"/>
      <c r="C180" s="96"/>
      <c r="D180" s="96"/>
      <c r="E180" s="96"/>
      <c r="F180" s="96"/>
      <c r="G180" s="97"/>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96"/>
      <c r="CB180" s="96"/>
      <c r="CC180" s="90"/>
      <c r="CD180" s="90"/>
      <c r="CE180" s="90"/>
      <c r="CF180" s="90"/>
    </row>
    <row r="181" spans="1:84">
      <c r="A181" s="96"/>
      <c r="B181" s="96"/>
      <c r="C181" s="96"/>
      <c r="D181" s="96"/>
      <c r="E181" s="96"/>
      <c r="F181" s="96"/>
      <c r="G181" s="97"/>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0"/>
      <c r="CD181" s="90"/>
      <c r="CE181" s="90"/>
      <c r="CF181" s="90"/>
    </row>
    <row r="182" spans="1:84">
      <c r="A182" s="96"/>
      <c r="B182" s="96"/>
      <c r="C182" s="96"/>
      <c r="D182" s="96"/>
      <c r="E182" s="96"/>
      <c r="F182" s="96"/>
      <c r="G182" s="97"/>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0"/>
      <c r="CD182" s="90"/>
      <c r="CE182" s="90"/>
      <c r="CF182" s="90"/>
    </row>
    <row r="183" spans="1:84">
      <c r="A183" s="96"/>
      <c r="B183" s="96"/>
      <c r="C183" s="96"/>
      <c r="D183" s="96"/>
      <c r="E183" s="96"/>
      <c r="F183" s="96"/>
      <c r="G183" s="97"/>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96"/>
      <c r="BW183" s="96"/>
      <c r="BX183" s="96"/>
      <c r="BY183" s="96"/>
      <c r="BZ183" s="96"/>
      <c r="CA183" s="96"/>
      <c r="CB183" s="96"/>
      <c r="CC183" s="90"/>
      <c r="CD183" s="90"/>
      <c r="CE183" s="90"/>
      <c r="CF183" s="90"/>
    </row>
    <row r="184" spans="1:84">
      <c r="A184" s="96"/>
      <c r="B184" s="96"/>
      <c r="C184" s="96"/>
      <c r="D184" s="96"/>
      <c r="E184" s="96"/>
      <c r="F184" s="96"/>
      <c r="G184" s="97"/>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c r="BO184" s="96"/>
      <c r="BP184" s="96"/>
      <c r="BQ184" s="96"/>
      <c r="BR184" s="96"/>
      <c r="BS184" s="96"/>
      <c r="BT184" s="96"/>
      <c r="BU184" s="96"/>
      <c r="BV184" s="96"/>
      <c r="BW184" s="96"/>
      <c r="BX184" s="96"/>
      <c r="BY184" s="96"/>
      <c r="BZ184" s="96"/>
      <c r="CA184" s="96"/>
      <c r="CB184" s="96"/>
      <c r="CC184" s="90"/>
      <c r="CD184" s="90"/>
      <c r="CE184" s="90"/>
      <c r="CF184" s="90"/>
    </row>
    <row r="185" spans="1:84">
      <c r="A185" s="96"/>
      <c r="B185" s="96"/>
      <c r="C185" s="96"/>
      <c r="D185" s="96"/>
      <c r="E185" s="96"/>
      <c r="F185" s="96"/>
      <c r="G185" s="97"/>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0"/>
      <c r="CD185" s="90"/>
      <c r="CE185" s="90"/>
      <c r="CF185" s="90"/>
    </row>
    <row r="186" spans="1:84">
      <c r="A186" s="96"/>
      <c r="B186" s="96"/>
      <c r="C186" s="96"/>
      <c r="D186" s="96"/>
      <c r="E186" s="96"/>
      <c r="F186" s="96"/>
      <c r="G186" s="97"/>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0"/>
      <c r="CD186" s="90"/>
      <c r="CE186" s="90"/>
      <c r="CF186" s="90"/>
    </row>
    <row r="187" spans="1:84">
      <c r="A187" s="96"/>
      <c r="B187" s="96"/>
      <c r="C187" s="96"/>
      <c r="D187" s="96"/>
      <c r="E187" s="96"/>
      <c r="F187" s="96"/>
      <c r="G187" s="97"/>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c r="BO187" s="96"/>
      <c r="BP187" s="96"/>
      <c r="BQ187" s="96"/>
      <c r="BR187" s="96"/>
      <c r="BS187" s="96"/>
      <c r="BT187" s="96"/>
      <c r="BU187" s="96"/>
      <c r="BV187" s="96"/>
      <c r="BW187" s="96"/>
      <c r="BX187" s="96"/>
      <c r="BY187" s="96"/>
      <c r="BZ187" s="96"/>
      <c r="CA187" s="96"/>
      <c r="CB187" s="96"/>
      <c r="CC187" s="90"/>
      <c r="CD187" s="90"/>
      <c r="CE187" s="90"/>
      <c r="CF187" s="90"/>
    </row>
    <row r="188" spans="1:84">
      <c r="A188" s="96"/>
      <c r="B188" s="96"/>
      <c r="C188" s="96"/>
      <c r="D188" s="96"/>
      <c r="E188" s="96"/>
      <c r="F188" s="96"/>
      <c r="G188" s="97"/>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BN188" s="96"/>
      <c r="BO188" s="96"/>
      <c r="BP188" s="96"/>
      <c r="BQ188" s="96"/>
      <c r="BR188" s="96"/>
      <c r="BS188" s="96"/>
      <c r="BT188" s="96"/>
      <c r="BU188" s="96"/>
      <c r="BV188" s="96"/>
      <c r="BW188" s="96"/>
      <c r="BX188" s="96"/>
      <c r="BY188" s="96"/>
      <c r="BZ188" s="96"/>
      <c r="CA188" s="96"/>
      <c r="CB188" s="96"/>
      <c r="CC188" s="90"/>
      <c r="CD188" s="90"/>
      <c r="CE188" s="90"/>
      <c r="CF188" s="90"/>
    </row>
    <row r="189" spans="1:84">
      <c r="A189" s="96"/>
      <c r="B189" s="96"/>
      <c r="C189" s="96"/>
      <c r="D189" s="96"/>
      <c r="E189" s="96"/>
      <c r="F189" s="96"/>
      <c r="G189" s="97"/>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0"/>
      <c r="CD189" s="90"/>
      <c r="CE189" s="90"/>
      <c r="CF189" s="90"/>
    </row>
    <row r="190" spans="1:84">
      <c r="A190" s="96"/>
      <c r="B190" s="96"/>
      <c r="C190" s="96"/>
      <c r="D190" s="96"/>
      <c r="E190" s="96"/>
      <c r="F190" s="96"/>
      <c r="G190" s="97"/>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0"/>
      <c r="CD190" s="90"/>
      <c r="CE190" s="90"/>
      <c r="CF190" s="90"/>
    </row>
    <row r="191" spans="1:84">
      <c r="A191" s="96"/>
      <c r="B191" s="96"/>
      <c r="C191" s="96"/>
      <c r="D191" s="96"/>
      <c r="E191" s="96"/>
      <c r="F191" s="96"/>
      <c r="G191" s="97"/>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c r="BO191" s="96"/>
      <c r="BP191" s="96"/>
      <c r="BQ191" s="96"/>
      <c r="BR191" s="96"/>
      <c r="BS191" s="96"/>
      <c r="BT191" s="96"/>
      <c r="BU191" s="96"/>
      <c r="BV191" s="96"/>
      <c r="BW191" s="96"/>
      <c r="BX191" s="96"/>
      <c r="BY191" s="96"/>
      <c r="BZ191" s="96"/>
      <c r="CA191" s="96"/>
      <c r="CB191" s="96"/>
      <c r="CC191" s="90"/>
      <c r="CD191" s="90"/>
      <c r="CE191" s="90"/>
      <c r="CF191" s="90"/>
    </row>
    <row r="192" spans="1:84">
      <c r="A192" s="96"/>
      <c r="B192" s="96"/>
      <c r="C192" s="96"/>
      <c r="D192" s="96"/>
      <c r="E192" s="96"/>
      <c r="F192" s="96"/>
      <c r="G192" s="97"/>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96"/>
      <c r="CB192" s="96"/>
      <c r="CC192" s="90"/>
      <c r="CD192" s="90"/>
      <c r="CE192" s="90"/>
      <c r="CF192" s="90"/>
    </row>
    <row r="193" spans="1:84">
      <c r="A193" s="96"/>
      <c r="B193" s="96"/>
      <c r="C193" s="96"/>
      <c r="D193" s="96"/>
      <c r="E193" s="96"/>
      <c r="F193" s="96"/>
      <c r="G193" s="97"/>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0"/>
      <c r="CD193" s="90"/>
      <c r="CE193" s="90"/>
      <c r="CF193" s="90"/>
    </row>
    <row r="194" spans="1:84">
      <c r="A194" s="96"/>
      <c r="B194" s="96"/>
      <c r="C194" s="96"/>
      <c r="D194" s="96"/>
      <c r="E194" s="96"/>
      <c r="F194" s="96"/>
      <c r="G194" s="97"/>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0"/>
      <c r="CD194" s="90"/>
      <c r="CE194" s="90"/>
      <c r="CF194" s="90"/>
    </row>
    <row r="195" spans="1:84">
      <c r="A195" s="96"/>
      <c r="B195" s="96"/>
      <c r="C195" s="96"/>
      <c r="D195" s="96"/>
      <c r="E195" s="96"/>
      <c r="F195" s="96"/>
      <c r="G195" s="97"/>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c r="BO195" s="96"/>
      <c r="BP195" s="96"/>
      <c r="BQ195" s="96"/>
      <c r="BR195" s="96"/>
      <c r="BS195" s="96"/>
      <c r="BT195" s="96"/>
      <c r="BU195" s="96"/>
      <c r="BV195" s="96"/>
      <c r="BW195" s="96"/>
      <c r="BX195" s="96"/>
      <c r="BY195" s="96"/>
      <c r="BZ195" s="96"/>
      <c r="CA195" s="96"/>
      <c r="CB195" s="96"/>
      <c r="CC195" s="90"/>
      <c r="CD195" s="90"/>
      <c r="CE195" s="90"/>
      <c r="CF195" s="90"/>
    </row>
    <row r="196" spans="1:84">
      <c r="A196" s="96"/>
      <c r="B196" s="96"/>
      <c r="C196" s="96"/>
      <c r="D196" s="96"/>
      <c r="E196" s="96"/>
      <c r="F196" s="96"/>
      <c r="G196" s="97"/>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c r="BO196" s="96"/>
      <c r="BP196" s="96"/>
      <c r="BQ196" s="96"/>
      <c r="BR196" s="96"/>
      <c r="BS196" s="96"/>
      <c r="BT196" s="96"/>
      <c r="BU196" s="96"/>
      <c r="BV196" s="96"/>
      <c r="BW196" s="96"/>
      <c r="BX196" s="96"/>
      <c r="BY196" s="96"/>
      <c r="BZ196" s="96"/>
      <c r="CA196" s="96"/>
      <c r="CB196" s="96"/>
      <c r="CC196" s="90"/>
      <c r="CD196" s="90"/>
      <c r="CE196" s="90"/>
      <c r="CF196" s="90"/>
    </row>
    <row r="197" spans="1:84">
      <c r="A197" s="96"/>
      <c r="B197" s="96"/>
      <c r="C197" s="96"/>
      <c r="D197" s="96"/>
      <c r="E197" s="96"/>
      <c r="F197" s="96"/>
      <c r="G197" s="97"/>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0"/>
      <c r="CD197" s="90"/>
      <c r="CE197" s="90"/>
      <c r="CF197" s="90"/>
    </row>
    <row r="198" spans="1:84">
      <c r="A198" s="96"/>
      <c r="B198" s="96"/>
      <c r="C198" s="96"/>
      <c r="D198" s="96"/>
      <c r="E198" s="96"/>
      <c r="F198" s="96"/>
      <c r="G198" s="97"/>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0"/>
      <c r="CD198" s="90"/>
      <c r="CE198" s="90"/>
      <c r="CF198" s="90"/>
    </row>
    <row r="199" spans="1:84">
      <c r="A199" s="96"/>
      <c r="B199" s="96"/>
      <c r="C199" s="96"/>
      <c r="D199" s="96"/>
      <c r="E199" s="96"/>
      <c r="F199" s="96"/>
      <c r="G199" s="97"/>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96"/>
      <c r="BJ199" s="96"/>
      <c r="BK199" s="96"/>
      <c r="BL199" s="96"/>
      <c r="BM199" s="96"/>
      <c r="BN199" s="96"/>
      <c r="BO199" s="96"/>
      <c r="BP199" s="96"/>
      <c r="BQ199" s="96"/>
      <c r="BR199" s="96"/>
      <c r="BS199" s="96"/>
      <c r="BT199" s="96"/>
      <c r="BU199" s="96"/>
      <c r="BV199" s="96"/>
      <c r="BW199" s="96"/>
      <c r="BX199" s="96"/>
      <c r="BY199" s="96"/>
      <c r="BZ199" s="96"/>
      <c r="CA199" s="96"/>
      <c r="CB199" s="96"/>
      <c r="CC199" s="90"/>
      <c r="CD199" s="90"/>
      <c r="CE199" s="90"/>
      <c r="CF199" s="90"/>
    </row>
    <row r="200" spans="1:84">
      <c r="A200" s="96"/>
      <c r="B200" s="96"/>
      <c r="C200" s="96"/>
      <c r="D200" s="96"/>
      <c r="E200" s="96"/>
      <c r="F200" s="96"/>
      <c r="G200" s="97"/>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BN200" s="96"/>
      <c r="BO200" s="96"/>
      <c r="BP200" s="96"/>
      <c r="BQ200" s="96"/>
      <c r="BR200" s="96"/>
      <c r="BS200" s="96"/>
      <c r="BT200" s="96"/>
      <c r="BU200" s="96"/>
      <c r="BV200" s="96"/>
      <c r="BW200" s="96"/>
      <c r="BX200" s="96"/>
      <c r="BY200" s="96"/>
      <c r="BZ200" s="96"/>
      <c r="CA200" s="96"/>
      <c r="CB200" s="96"/>
      <c r="CC200" s="90"/>
      <c r="CD200" s="90"/>
      <c r="CE200" s="90"/>
      <c r="CF200" s="90"/>
    </row>
    <row r="201" spans="1:84">
      <c r="A201" s="96"/>
      <c r="B201" s="96"/>
      <c r="C201" s="96"/>
      <c r="D201" s="96"/>
      <c r="E201" s="96"/>
      <c r="F201" s="96"/>
      <c r="G201" s="97"/>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0"/>
      <c r="CD201" s="90"/>
      <c r="CE201" s="90"/>
      <c r="CF201" s="90"/>
    </row>
    <row r="202" spans="1:84">
      <c r="A202" s="96"/>
      <c r="B202" s="96"/>
      <c r="C202" s="96"/>
      <c r="D202" s="96"/>
      <c r="E202" s="96"/>
      <c r="F202" s="96"/>
      <c r="G202" s="97"/>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0"/>
      <c r="CD202" s="90"/>
      <c r="CE202" s="90"/>
      <c r="CF202" s="90"/>
    </row>
    <row r="203" spans="1:84">
      <c r="A203" s="96"/>
      <c r="B203" s="96"/>
      <c r="C203" s="96"/>
      <c r="D203" s="96"/>
      <c r="E203" s="96"/>
      <c r="F203" s="96"/>
      <c r="G203" s="97"/>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c r="BZ203" s="96"/>
      <c r="CA203" s="96"/>
      <c r="CB203" s="96"/>
      <c r="CC203" s="90"/>
      <c r="CD203" s="90"/>
      <c r="CE203" s="90"/>
      <c r="CF203" s="90"/>
    </row>
    <row r="204" spans="1:84">
      <c r="A204" s="96"/>
      <c r="B204" s="96"/>
      <c r="C204" s="96"/>
      <c r="D204" s="96"/>
      <c r="E204" s="96"/>
      <c r="F204" s="96"/>
      <c r="G204" s="97"/>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c r="AU204" s="96"/>
      <c r="AV204" s="96"/>
      <c r="AW204" s="96"/>
      <c r="AX204" s="96"/>
      <c r="AY204" s="96"/>
      <c r="AZ204" s="96"/>
      <c r="BA204" s="96"/>
      <c r="BB204" s="96"/>
      <c r="BC204" s="96"/>
      <c r="BD204" s="96"/>
      <c r="BE204" s="96"/>
      <c r="BF204" s="96"/>
      <c r="BG204" s="96"/>
      <c r="BH204" s="96"/>
      <c r="BI204" s="96"/>
      <c r="BJ204" s="96"/>
      <c r="BK204" s="96"/>
      <c r="BL204" s="96"/>
      <c r="BM204" s="96"/>
      <c r="BN204" s="96"/>
      <c r="BO204" s="96"/>
      <c r="BP204" s="96"/>
      <c r="BQ204" s="96"/>
      <c r="BR204" s="96"/>
      <c r="BS204" s="96"/>
      <c r="BT204" s="96"/>
      <c r="BU204" s="96"/>
      <c r="BV204" s="96"/>
      <c r="BW204" s="96"/>
      <c r="BX204" s="96"/>
      <c r="BY204" s="96"/>
      <c r="BZ204" s="96"/>
      <c r="CA204" s="96"/>
      <c r="CB204" s="96"/>
      <c r="CC204" s="90"/>
      <c r="CD204" s="90"/>
      <c r="CE204" s="90"/>
      <c r="CF204" s="90"/>
    </row>
    <row r="205" spans="1:84">
      <c r="A205" s="96"/>
      <c r="B205" s="96"/>
      <c r="C205" s="96"/>
      <c r="D205" s="96"/>
      <c r="E205" s="96"/>
      <c r="F205" s="96"/>
      <c r="G205" s="97"/>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6"/>
      <c r="AY205" s="96"/>
      <c r="AZ205" s="96"/>
      <c r="BA205" s="96"/>
      <c r="BB205" s="96"/>
      <c r="BC205" s="96"/>
      <c r="BD205" s="96"/>
      <c r="BE205" s="96"/>
      <c r="BF205" s="96"/>
      <c r="BG205" s="96"/>
      <c r="BH205" s="96"/>
      <c r="BI205" s="96"/>
      <c r="BJ205" s="96"/>
      <c r="BK205" s="96"/>
      <c r="BL205" s="96"/>
      <c r="BM205" s="96"/>
      <c r="BN205" s="96"/>
      <c r="BO205" s="96"/>
      <c r="BP205" s="96"/>
      <c r="BQ205" s="96"/>
      <c r="BR205" s="96"/>
      <c r="BS205" s="96"/>
      <c r="BT205" s="96"/>
      <c r="BU205" s="96"/>
      <c r="BV205" s="96"/>
      <c r="BW205" s="96"/>
      <c r="BX205" s="96"/>
      <c r="BY205" s="96"/>
      <c r="BZ205" s="96"/>
      <c r="CA205" s="96"/>
      <c r="CB205" s="96"/>
      <c r="CC205" s="90"/>
      <c r="CD205" s="90"/>
      <c r="CE205" s="90"/>
      <c r="CF205" s="90"/>
    </row>
    <row r="206" spans="1:84">
      <c r="A206" s="96"/>
      <c r="B206" s="96"/>
      <c r="C206" s="96"/>
      <c r="D206" s="96"/>
      <c r="E206" s="96"/>
      <c r="F206" s="96"/>
      <c r="G206" s="97"/>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6"/>
      <c r="BW206" s="96"/>
      <c r="BX206" s="96"/>
      <c r="BY206" s="96"/>
      <c r="BZ206" s="96"/>
      <c r="CA206" s="96"/>
      <c r="CB206" s="96"/>
      <c r="CC206" s="90"/>
      <c r="CD206" s="90"/>
      <c r="CE206" s="90"/>
      <c r="CF206" s="90"/>
    </row>
    <row r="207" spans="1:84">
      <c r="A207" s="96"/>
      <c r="B207" s="96"/>
      <c r="C207" s="96"/>
      <c r="D207" s="96"/>
      <c r="E207" s="96"/>
      <c r="F207" s="96"/>
      <c r="G207" s="97"/>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c r="BO207" s="96"/>
      <c r="BP207" s="96"/>
      <c r="BQ207" s="96"/>
      <c r="BR207" s="96"/>
      <c r="BS207" s="96"/>
      <c r="BT207" s="96"/>
      <c r="BU207" s="96"/>
      <c r="BV207" s="96"/>
      <c r="BW207" s="96"/>
      <c r="BX207" s="96"/>
      <c r="BY207" s="96"/>
      <c r="BZ207" s="96"/>
      <c r="CA207" s="96"/>
      <c r="CB207" s="96"/>
      <c r="CC207" s="90"/>
      <c r="CD207" s="90"/>
      <c r="CE207" s="90"/>
      <c r="CF207" s="90"/>
    </row>
    <row r="208" spans="1:84">
      <c r="A208" s="96"/>
      <c r="B208" s="96"/>
      <c r="C208" s="96"/>
      <c r="D208" s="96"/>
      <c r="E208" s="96"/>
      <c r="F208" s="96"/>
      <c r="G208" s="97"/>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BN208" s="96"/>
      <c r="BO208" s="96"/>
      <c r="BP208" s="96"/>
      <c r="BQ208" s="96"/>
      <c r="BR208" s="96"/>
      <c r="BS208" s="96"/>
      <c r="BT208" s="96"/>
      <c r="BU208" s="96"/>
      <c r="BV208" s="96"/>
      <c r="BW208" s="96"/>
      <c r="BX208" s="96"/>
      <c r="BY208" s="96"/>
      <c r="BZ208" s="96"/>
      <c r="CA208" s="96"/>
      <c r="CB208" s="96"/>
      <c r="CC208" s="90"/>
      <c r="CD208" s="90"/>
      <c r="CE208" s="90"/>
      <c r="CF208" s="90"/>
    </row>
    <row r="209" spans="1:84">
      <c r="A209" s="96"/>
      <c r="B209" s="96"/>
      <c r="C209" s="96"/>
      <c r="D209" s="96"/>
      <c r="E209" s="96"/>
      <c r="F209" s="96"/>
      <c r="G209" s="97"/>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96"/>
      <c r="BS209" s="96"/>
      <c r="BT209" s="96"/>
      <c r="BU209" s="96"/>
      <c r="BV209" s="96"/>
      <c r="BW209" s="96"/>
      <c r="BX209" s="96"/>
      <c r="BY209" s="96"/>
      <c r="BZ209" s="96"/>
      <c r="CA209" s="96"/>
      <c r="CB209" s="96"/>
      <c r="CC209" s="90"/>
      <c r="CD209" s="90"/>
      <c r="CE209" s="90"/>
      <c r="CF209" s="90"/>
    </row>
    <row r="210" spans="1:84">
      <c r="A210" s="96"/>
      <c r="B210" s="96"/>
      <c r="C210" s="96"/>
      <c r="D210" s="96"/>
      <c r="E210" s="96"/>
      <c r="F210" s="96"/>
      <c r="G210" s="97"/>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BN210" s="96"/>
      <c r="BO210" s="96"/>
      <c r="BP210" s="96"/>
      <c r="BQ210" s="96"/>
      <c r="BR210" s="96"/>
      <c r="BS210" s="96"/>
      <c r="BT210" s="96"/>
      <c r="BU210" s="96"/>
      <c r="BV210" s="96"/>
      <c r="BW210" s="96"/>
      <c r="BX210" s="96"/>
      <c r="BY210" s="96"/>
      <c r="BZ210" s="96"/>
      <c r="CA210" s="96"/>
      <c r="CB210" s="96"/>
      <c r="CC210" s="90"/>
      <c r="CD210" s="90"/>
      <c r="CE210" s="90"/>
      <c r="CF210" s="90"/>
    </row>
    <row r="211" spans="1:84">
      <c r="A211" s="96"/>
      <c r="B211" s="96"/>
      <c r="C211" s="96"/>
      <c r="D211" s="96"/>
      <c r="E211" s="96"/>
      <c r="F211" s="96"/>
      <c r="G211" s="97"/>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c r="BE211" s="96"/>
      <c r="BF211" s="96"/>
      <c r="BG211" s="96"/>
      <c r="BH211" s="96"/>
      <c r="BI211" s="96"/>
      <c r="BJ211" s="96"/>
      <c r="BK211" s="96"/>
      <c r="BL211" s="96"/>
      <c r="BM211" s="96"/>
      <c r="BN211" s="96"/>
      <c r="BO211" s="96"/>
      <c r="BP211" s="96"/>
      <c r="BQ211" s="96"/>
      <c r="BR211" s="96"/>
      <c r="BS211" s="96"/>
      <c r="BT211" s="96"/>
      <c r="BU211" s="96"/>
      <c r="BV211" s="96"/>
      <c r="BW211" s="96"/>
      <c r="BX211" s="96"/>
      <c r="BY211" s="96"/>
      <c r="BZ211" s="96"/>
      <c r="CA211" s="96"/>
      <c r="CB211" s="96"/>
      <c r="CC211" s="90"/>
      <c r="CD211" s="90"/>
      <c r="CE211" s="90"/>
      <c r="CF211" s="90"/>
    </row>
    <row r="212" spans="1:84">
      <c r="A212" s="96"/>
      <c r="B212" s="96"/>
      <c r="C212" s="96"/>
      <c r="D212" s="96"/>
      <c r="E212" s="96"/>
      <c r="F212" s="96"/>
      <c r="G212" s="97"/>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c r="BE212" s="96"/>
      <c r="BF212" s="96"/>
      <c r="BG212" s="96"/>
      <c r="BH212" s="96"/>
      <c r="BI212" s="96"/>
      <c r="BJ212" s="96"/>
      <c r="BK212" s="96"/>
      <c r="BL212" s="96"/>
      <c r="BM212" s="96"/>
      <c r="BN212" s="96"/>
      <c r="BO212" s="96"/>
      <c r="BP212" s="96"/>
      <c r="BQ212" s="96"/>
      <c r="BR212" s="96"/>
      <c r="BS212" s="96"/>
      <c r="BT212" s="96"/>
      <c r="BU212" s="96"/>
      <c r="BV212" s="96"/>
      <c r="BW212" s="96"/>
      <c r="BX212" s="96"/>
      <c r="BY212" s="96"/>
      <c r="BZ212" s="96"/>
      <c r="CA212" s="96"/>
      <c r="CB212" s="96"/>
      <c r="CC212" s="90"/>
      <c r="CD212" s="90"/>
      <c r="CE212" s="90"/>
      <c r="CF212" s="90"/>
    </row>
    <row r="213" spans="1:84">
      <c r="A213" s="96"/>
      <c r="B213" s="96"/>
      <c r="C213" s="96"/>
      <c r="D213" s="96"/>
      <c r="E213" s="96"/>
      <c r="F213" s="96"/>
      <c r="G213" s="97"/>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BN213" s="96"/>
      <c r="BO213" s="96"/>
      <c r="BP213" s="96"/>
      <c r="BQ213" s="96"/>
      <c r="BR213" s="96"/>
      <c r="BS213" s="96"/>
      <c r="BT213" s="96"/>
      <c r="BU213" s="96"/>
      <c r="BV213" s="96"/>
      <c r="BW213" s="96"/>
      <c r="BX213" s="96"/>
      <c r="BY213" s="96"/>
      <c r="BZ213" s="96"/>
      <c r="CA213" s="96"/>
      <c r="CB213" s="96"/>
      <c r="CC213" s="90"/>
      <c r="CD213" s="90"/>
      <c r="CE213" s="90"/>
      <c r="CF213" s="90"/>
    </row>
    <row r="214" spans="1:84">
      <c r="A214" s="96"/>
      <c r="B214" s="96"/>
      <c r="C214" s="96"/>
      <c r="D214" s="96"/>
      <c r="E214" s="96"/>
      <c r="F214" s="96"/>
      <c r="G214" s="97"/>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96"/>
      <c r="AT214" s="96"/>
      <c r="AU214" s="96"/>
      <c r="AV214" s="96"/>
      <c r="AW214" s="96"/>
      <c r="AX214" s="96"/>
      <c r="AY214" s="96"/>
      <c r="AZ214" s="96"/>
      <c r="BA214" s="96"/>
      <c r="BB214" s="96"/>
      <c r="BC214" s="96"/>
      <c r="BD214" s="96"/>
      <c r="BE214" s="96"/>
      <c r="BF214" s="96"/>
      <c r="BG214" s="96"/>
      <c r="BH214" s="96"/>
      <c r="BI214" s="96"/>
      <c r="BJ214" s="96"/>
      <c r="BK214" s="96"/>
      <c r="BL214" s="96"/>
      <c r="BM214" s="96"/>
      <c r="BN214" s="96"/>
      <c r="BO214" s="96"/>
      <c r="BP214" s="96"/>
      <c r="BQ214" s="96"/>
      <c r="BR214" s="96"/>
      <c r="BS214" s="96"/>
      <c r="BT214" s="96"/>
      <c r="BU214" s="96"/>
      <c r="BV214" s="96"/>
      <c r="BW214" s="96"/>
      <c r="BX214" s="96"/>
      <c r="BY214" s="96"/>
      <c r="BZ214" s="96"/>
      <c r="CA214" s="96"/>
      <c r="CB214" s="96"/>
      <c r="CC214" s="90"/>
      <c r="CD214" s="90"/>
      <c r="CE214" s="90"/>
      <c r="CF214" s="90"/>
    </row>
    <row r="215" spans="1:84">
      <c r="A215" s="96"/>
      <c r="B215" s="96"/>
      <c r="C215" s="96"/>
      <c r="D215" s="96"/>
      <c r="E215" s="96"/>
      <c r="F215" s="96"/>
      <c r="G215" s="97"/>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c r="BH215" s="96"/>
      <c r="BI215" s="96"/>
      <c r="BJ215" s="96"/>
      <c r="BK215" s="96"/>
      <c r="BL215" s="96"/>
      <c r="BM215" s="96"/>
      <c r="BN215" s="96"/>
      <c r="BO215" s="96"/>
      <c r="BP215" s="96"/>
      <c r="BQ215" s="96"/>
      <c r="BR215" s="96"/>
      <c r="BS215" s="96"/>
      <c r="BT215" s="96"/>
      <c r="BU215" s="96"/>
      <c r="BV215" s="96"/>
      <c r="BW215" s="96"/>
      <c r="BX215" s="96"/>
      <c r="BY215" s="96"/>
      <c r="BZ215" s="96"/>
      <c r="CA215" s="96"/>
      <c r="CB215" s="96"/>
      <c r="CC215" s="90"/>
      <c r="CD215" s="90"/>
      <c r="CE215" s="90"/>
      <c r="CF215" s="90"/>
    </row>
    <row r="216" spans="1:84">
      <c r="A216" s="96"/>
      <c r="B216" s="96"/>
      <c r="C216" s="96"/>
      <c r="D216" s="96"/>
      <c r="E216" s="96"/>
      <c r="F216" s="96"/>
      <c r="G216" s="97"/>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c r="BE216" s="96"/>
      <c r="BF216" s="96"/>
      <c r="BG216" s="96"/>
      <c r="BH216" s="96"/>
      <c r="BI216" s="96"/>
      <c r="BJ216" s="96"/>
      <c r="BK216" s="96"/>
      <c r="BL216" s="96"/>
      <c r="BM216" s="96"/>
      <c r="BN216" s="96"/>
      <c r="BO216" s="96"/>
      <c r="BP216" s="96"/>
      <c r="BQ216" s="96"/>
      <c r="BR216" s="96"/>
      <c r="BS216" s="96"/>
      <c r="BT216" s="96"/>
      <c r="BU216" s="96"/>
      <c r="BV216" s="96"/>
      <c r="BW216" s="96"/>
      <c r="BX216" s="96"/>
      <c r="BY216" s="96"/>
      <c r="BZ216" s="96"/>
      <c r="CA216" s="96"/>
      <c r="CB216" s="96"/>
      <c r="CC216" s="90"/>
      <c r="CD216" s="90"/>
      <c r="CE216" s="90"/>
      <c r="CF216" s="90"/>
    </row>
    <row r="217" spans="1:84">
      <c r="A217" s="96"/>
      <c r="B217" s="96"/>
      <c r="C217" s="96"/>
      <c r="D217" s="96"/>
      <c r="E217" s="96"/>
      <c r="F217" s="96"/>
      <c r="G217" s="97"/>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96"/>
      <c r="BQ217" s="96"/>
      <c r="BR217" s="96"/>
      <c r="BS217" s="96"/>
      <c r="BT217" s="96"/>
      <c r="BU217" s="96"/>
      <c r="BV217" s="96"/>
      <c r="BW217" s="96"/>
      <c r="BX217" s="96"/>
      <c r="BY217" s="96"/>
      <c r="BZ217" s="96"/>
      <c r="CA217" s="96"/>
      <c r="CB217" s="96"/>
      <c r="CC217" s="90"/>
      <c r="CD217" s="90"/>
      <c r="CE217" s="90"/>
      <c r="CF217" s="90"/>
    </row>
    <row r="218" spans="1:84">
      <c r="A218" s="96"/>
      <c r="B218" s="96"/>
      <c r="C218" s="96"/>
      <c r="D218" s="96"/>
      <c r="E218" s="96"/>
      <c r="F218" s="96"/>
      <c r="G218" s="97"/>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c r="BE218" s="96"/>
      <c r="BF218" s="96"/>
      <c r="BG218" s="96"/>
      <c r="BH218" s="96"/>
      <c r="BI218" s="96"/>
      <c r="BJ218" s="96"/>
      <c r="BK218" s="96"/>
      <c r="BL218" s="96"/>
      <c r="BM218" s="96"/>
      <c r="BN218" s="96"/>
      <c r="BO218" s="96"/>
      <c r="BP218" s="96"/>
      <c r="BQ218" s="96"/>
      <c r="BR218" s="96"/>
      <c r="BS218" s="96"/>
      <c r="BT218" s="96"/>
      <c r="BU218" s="96"/>
      <c r="BV218" s="96"/>
      <c r="BW218" s="96"/>
      <c r="BX218" s="96"/>
      <c r="BY218" s="96"/>
      <c r="BZ218" s="96"/>
      <c r="CA218" s="96"/>
      <c r="CB218" s="96"/>
      <c r="CC218" s="90"/>
      <c r="CD218" s="90"/>
      <c r="CE218" s="90"/>
      <c r="CF218" s="90"/>
    </row>
    <row r="219" spans="1:84">
      <c r="A219" s="96"/>
      <c r="B219" s="96"/>
      <c r="C219" s="96"/>
      <c r="D219" s="96"/>
      <c r="E219" s="96"/>
      <c r="F219" s="96"/>
      <c r="G219" s="97"/>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BN219" s="96"/>
      <c r="BO219" s="96"/>
      <c r="BP219" s="96"/>
      <c r="BQ219" s="96"/>
      <c r="BR219" s="96"/>
      <c r="BS219" s="96"/>
      <c r="BT219" s="96"/>
      <c r="BU219" s="96"/>
      <c r="BV219" s="96"/>
      <c r="BW219" s="96"/>
      <c r="BX219" s="96"/>
      <c r="BY219" s="96"/>
      <c r="BZ219" s="96"/>
      <c r="CA219" s="96"/>
      <c r="CB219" s="96"/>
      <c r="CC219" s="90"/>
      <c r="CD219" s="90"/>
      <c r="CE219" s="90"/>
      <c r="CF219" s="90"/>
    </row>
    <row r="220" spans="1:84">
      <c r="A220" s="96"/>
      <c r="B220" s="96"/>
      <c r="C220" s="96"/>
      <c r="D220" s="96"/>
      <c r="E220" s="96"/>
      <c r="F220" s="96"/>
      <c r="G220" s="97"/>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c r="BO220" s="96"/>
      <c r="BP220" s="96"/>
      <c r="BQ220" s="96"/>
      <c r="BR220" s="96"/>
      <c r="BS220" s="96"/>
      <c r="BT220" s="96"/>
      <c r="BU220" s="96"/>
      <c r="BV220" s="96"/>
      <c r="BW220" s="96"/>
      <c r="BX220" s="96"/>
      <c r="BY220" s="96"/>
      <c r="BZ220" s="96"/>
      <c r="CA220" s="96"/>
      <c r="CB220" s="96"/>
      <c r="CC220" s="90"/>
      <c r="CD220" s="90"/>
      <c r="CE220" s="90"/>
      <c r="CF220" s="90"/>
    </row>
    <row r="221" spans="1:84">
      <c r="A221" s="96"/>
      <c r="B221" s="96"/>
      <c r="C221" s="96"/>
      <c r="D221" s="96"/>
      <c r="E221" s="96"/>
      <c r="F221" s="96"/>
      <c r="G221" s="97"/>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96"/>
      <c r="BX221" s="96"/>
      <c r="BY221" s="96"/>
      <c r="BZ221" s="96"/>
      <c r="CA221" s="96"/>
      <c r="CB221" s="96"/>
      <c r="CC221" s="90"/>
      <c r="CD221" s="90"/>
      <c r="CE221" s="90"/>
      <c r="CF221" s="90"/>
    </row>
    <row r="222" spans="1:84">
      <c r="A222" s="96"/>
      <c r="B222" s="96"/>
      <c r="C222" s="96"/>
      <c r="D222" s="96"/>
      <c r="E222" s="96"/>
      <c r="F222" s="96"/>
      <c r="G222" s="97"/>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6"/>
      <c r="BR222" s="96"/>
      <c r="BS222" s="96"/>
      <c r="BT222" s="96"/>
      <c r="BU222" s="96"/>
      <c r="BV222" s="96"/>
      <c r="BW222" s="96"/>
      <c r="BX222" s="96"/>
      <c r="BY222" s="96"/>
      <c r="BZ222" s="96"/>
      <c r="CA222" s="96"/>
      <c r="CB222" s="96"/>
      <c r="CC222" s="90"/>
      <c r="CD222" s="90"/>
      <c r="CE222" s="90"/>
      <c r="CF222" s="90"/>
    </row>
    <row r="223" spans="1:84">
      <c r="A223" s="96"/>
      <c r="B223" s="96"/>
      <c r="C223" s="96"/>
      <c r="D223" s="96"/>
      <c r="E223" s="96"/>
      <c r="F223" s="96"/>
      <c r="G223" s="97"/>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6"/>
      <c r="BR223" s="96"/>
      <c r="BS223" s="96"/>
      <c r="BT223" s="96"/>
      <c r="BU223" s="96"/>
      <c r="BV223" s="96"/>
      <c r="BW223" s="96"/>
      <c r="BX223" s="96"/>
      <c r="BY223" s="96"/>
      <c r="BZ223" s="96"/>
      <c r="CA223" s="96"/>
      <c r="CB223" s="96"/>
      <c r="CC223" s="90"/>
      <c r="CD223" s="90"/>
      <c r="CE223" s="90"/>
      <c r="CF223" s="90"/>
    </row>
    <row r="224" spans="1:84">
      <c r="A224" s="96"/>
      <c r="B224" s="96"/>
      <c r="C224" s="96"/>
      <c r="D224" s="96"/>
      <c r="E224" s="96"/>
      <c r="F224" s="96"/>
      <c r="G224" s="97"/>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6"/>
      <c r="BR224" s="96"/>
      <c r="BS224" s="96"/>
      <c r="BT224" s="96"/>
      <c r="BU224" s="96"/>
      <c r="BV224" s="96"/>
      <c r="BW224" s="96"/>
      <c r="BX224" s="96"/>
      <c r="BY224" s="96"/>
      <c r="BZ224" s="96"/>
      <c r="CA224" s="96"/>
      <c r="CB224" s="96"/>
      <c r="CC224" s="90"/>
      <c r="CD224" s="90"/>
      <c r="CE224" s="90"/>
      <c r="CF224" s="90"/>
    </row>
    <row r="225" spans="1:84">
      <c r="A225" s="96"/>
      <c r="B225" s="96"/>
      <c r="C225" s="96"/>
      <c r="D225" s="96"/>
      <c r="E225" s="96"/>
      <c r="F225" s="96"/>
      <c r="G225" s="97"/>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96"/>
      <c r="BG225" s="96"/>
      <c r="BH225" s="96"/>
      <c r="BI225" s="96"/>
      <c r="BJ225" s="96"/>
      <c r="BK225" s="96"/>
      <c r="BL225" s="96"/>
      <c r="BM225" s="96"/>
      <c r="BN225" s="96"/>
      <c r="BO225" s="96"/>
      <c r="BP225" s="96"/>
      <c r="BQ225" s="96"/>
      <c r="BR225" s="96"/>
      <c r="BS225" s="96"/>
      <c r="BT225" s="96"/>
      <c r="BU225" s="96"/>
      <c r="BV225" s="96"/>
      <c r="BW225" s="96"/>
      <c r="BX225" s="96"/>
      <c r="BY225" s="96"/>
      <c r="BZ225" s="96"/>
      <c r="CA225" s="96"/>
      <c r="CB225" s="96"/>
      <c r="CC225" s="90"/>
      <c r="CD225" s="90"/>
      <c r="CE225" s="90"/>
      <c r="CF225" s="90"/>
    </row>
    <row r="226" spans="1:84">
      <c r="A226" s="96"/>
      <c r="B226" s="96"/>
      <c r="C226" s="96"/>
      <c r="D226" s="96"/>
      <c r="E226" s="96"/>
      <c r="F226" s="96"/>
      <c r="G226" s="97"/>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c r="BE226" s="96"/>
      <c r="BF226" s="96"/>
      <c r="BG226" s="96"/>
      <c r="BH226" s="96"/>
      <c r="BI226" s="96"/>
      <c r="BJ226" s="96"/>
      <c r="BK226" s="96"/>
      <c r="BL226" s="96"/>
      <c r="BM226" s="96"/>
      <c r="BN226" s="96"/>
      <c r="BO226" s="96"/>
      <c r="BP226" s="96"/>
      <c r="BQ226" s="96"/>
      <c r="BR226" s="96"/>
      <c r="BS226" s="96"/>
      <c r="BT226" s="96"/>
      <c r="BU226" s="96"/>
      <c r="BV226" s="96"/>
      <c r="BW226" s="96"/>
      <c r="BX226" s="96"/>
      <c r="BY226" s="96"/>
      <c r="BZ226" s="96"/>
      <c r="CA226" s="96"/>
      <c r="CB226" s="96"/>
      <c r="CC226" s="90"/>
      <c r="CD226" s="90"/>
      <c r="CE226" s="90"/>
      <c r="CF226" s="90"/>
    </row>
    <row r="227" spans="1:84">
      <c r="A227" s="96"/>
      <c r="B227" s="96"/>
      <c r="C227" s="96"/>
      <c r="D227" s="96"/>
      <c r="E227" s="96"/>
      <c r="F227" s="96"/>
      <c r="G227" s="97"/>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s="96"/>
      <c r="BA227" s="96"/>
      <c r="BB227" s="96"/>
      <c r="BC227" s="96"/>
      <c r="BD227" s="96"/>
      <c r="BE227" s="96"/>
      <c r="BF227" s="96"/>
      <c r="BG227" s="96"/>
      <c r="BH227" s="96"/>
      <c r="BI227" s="96"/>
      <c r="BJ227" s="96"/>
      <c r="BK227" s="96"/>
      <c r="BL227" s="96"/>
      <c r="BM227" s="96"/>
      <c r="BN227" s="96"/>
      <c r="BO227" s="96"/>
      <c r="BP227" s="96"/>
      <c r="BQ227" s="96"/>
      <c r="BR227" s="96"/>
      <c r="BS227" s="96"/>
      <c r="BT227" s="96"/>
      <c r="BU227" s="96"/>
      <c r="BV227" s="96"/>
      <c r="BW227" s="96"/>
      <c r="BX227" s="96"/>
      <c r="BY227" s="96"/>
      <c r="BZ227" s="96"/>
      <c r="CA227" s="96"/>
      <c r="CB227" s="96"/>
      <c r="CC227" s="90"/>
      <c r="CD227" s="90"/>
      <c r="CE227" s="90"/>
      <c r="CF227" s="90"/>
    </row>
    <row r="228" spans="1:84">
      <c r="A228" s="96"/>
      <c r="B228" s="96"/>
      <c r="C228" s="96"/>
      <c r="D228" s="96"/>
      <c r="E228" s="96"/>
      <c r="F228" s="96"/>
      <c r="G228" s="97"/>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96"/>
      <c r="BY228" s="96"/>
      <c r="BZ228" s="96"/>
      <c r="CA228" s="96"/>
      <c r="CB228" s="96"/>
      <c r="CC228" s="90"/>
      <c r="CD228" s="90"/>
      <c r="CE228" s="90"/>
      <c r="CF228" s="90"/>
    </row>
    <row r="229" spans="1:84">
      <c r="A229" s="96"/>
      <c r="B229" s="96"/>
      <c r="C229" s="96"/>
      <c r="D229" s="96"/>
      <c r="E229" s="96"/>
      <c r="F229" s="96"/>
      <c r="G229" s="97"/>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c r="BZ229" s="96"/>
      <c r="CA229" s="96"/>
      <c r="CB229" s="96"/>
      <c r="CC229" s="90"/>
      <c r="CD229" s="90"/>
      <c r="CE229" s="90"/>
      <c r="CF229" s="90"/>
    </row>
    <row r="230" spans="1:84">
      <c r="A230" s="96"/>
      <c r="B230" s="96"/>
      <c r="C230" s="96"/>
      <c r="D230" s="96"/>
      <c r="E230" s="96"/>
      <c r="F230" s="96"/>
      <c r="G230" s="97"/>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6"/>
      <c r="BR230" s="96"/>
      <c r="BS230" s="96"/>
      <c r="BT230" s="96"/>
      <c r="BU230" s="96"/>
      <c r="BV230" s="96"/>
      <c r="BW230" s="96"/>
      <c r="BX230" s="96"/>
      <c r="BY230" s="96"/>
      <c r="BZ230" s="96"/>
      <c r="CA230" s="96"/>
      <c r="CB230" s="96"/>
      <c r="CC230" s="90"/>
      <c r="CD230" s="90"/>
      <c r="CE230" s="90"/>
      <c r="CF230" s="90"/>
    </row>
    <row r="231" spans="1:84">
      <c r="A231" s="96"/>
      <c r="B231" s="96"/>
      <c r="C231" s="96"/>
      <c r="D231" s="96"/>
      <c r="E231" s="96"/>
      <c r="F231" s="96"/>
      <c r="G231" s="97"/>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BN231" s="96"/>
      <c r="BO231" s="96"/>
      <c r="BP231" s="96"/>
      <c r="BQ231" s="96"/>
      <c r="BR231" s="96"/>
      <c r="BS231" s="96"/>
      <c r="BT231" s="96"/>
      <c r="BU231" s="96"/>
      <c r="BV231" s="96"/>
      <c r="BW231" s="96"/>
      <c r="BX231" s="96"/>
      <c r="BY231" s="96"/>
      <c r="BZ231" s="96"/>
      <c r="CA231" s="96"/>
      <c r="CB231" s="96"/>
      <c r="CC231" s="90"/>
      <c r="CD231" s="90"/>
      <c r="CE231" s="90"/>
      <c r="CF231" s="90"/>
    </row>
    <row r="232" spans="1:84">
      <c r="A232" s="96"/>
      <c r="B232" s="96"/>
      <c r="C232" s="96"/>
      <c r="D232" s="96"/>
      <c r="E232" s="96"/>
      <c r="F232" s="96"/>
      <c r="G232" s="97"/>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c r="BE232" s="96"/>
      <c r="BF232" s="96"/>
      <c r="BG232" s="96"/>
      <c r="BH232" s="96"/>
      <c r="BI232" s="96"/>
      <c r="BJ232" s="96"/>
      <c r="BK232" s="96"/>
      <c r="BL232" s="96"/>
      <c r="BM232" s="96"/>
      <c r="BN232" s="96"/>
      <c r="BO232" s="96"/>
      <c r="BP232" s="96"/>
      <c r="BQ232" s="96"/>
      <c r="BR232" s="96"/>
      <c r="BS232" s="96"/>
      <c r="BT232" s="96"/>
      <c r="BU232" s="96"/>
      <c r="BV232" s="96"/>
      <c r="BW232" s="96"/>
      <c r="BX232" s="96"/>
      <c r="BY232" s="96"/>
      <c r="BZ232" s="96"/>
      <c r="CA232" s="96"/>
      <c r="CB232" s="96"/>
      <c r="CC232" s="90"/>
      <c r="CD232" s="90"/>
      <c r="CE232" s="90"/>
      <c r="CF232" s="90"/>
    </row>
    <row r="233" spans="1:84">
      <c r="A233" s="96"/>
      <c r="B233" s="96"/>
      <c r="C233" s="96"/>
      <c r="D233" s="96"/>
      <c r="E233" s="96"/>
      <c r="F233" s="96"/>
      <c r="G233" s="97"/>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96"/>
      <c r="AT233" s="96"/>
      <c r="AU233" s="96"/>
      <c r="AV233" s="96"/>
      <c r="AW233" s="96"/>
      <c r="AX233" s="96"/>
      <c r="AY233" s="96"/>
      <c r="AZ233" s="96"/>
      <c r="BA233" s="96"/>
      <c r="BB233" s="96"/>
      <c r="BC233" s="96"/>
      <c r="BD233" s="96"/>
      <c r="BE233" s="96"/>
      <c r="BF233" s="96"/>
      <c r="BG233" s="96"/>
      <c r="BH233" s="96"/>
      <c r="BI233" s="96"/>
      <c r="BJ233" s="96"/>
      <c r="BK233" s="96"/>
      <c r="BL233" s="96"/>
      <c r="BM233" s="96"/>
      <c r="BN233" s="96"/>
      <c r="BO233" s="96"/>
      <c r="BP233" s="96"/>
      <c r="BQ233" s="96"/>
      <c r="BR233" s="96"/>
      <c r="BS233" s="96"/>
      <c r="BT233" s="96"/>
      <c r="BU233" s="96"/>
      <c r="BV233" s="96"/>
      <c r="BW233" s="96"/>
      <c r="BX233" s="96"/>
      <c r="BY233" s="96"/>
      <c r="BZ233" s="96"/>
      <c r="CA233" s="96"/>
      <c r="CB233" s="96"/>
      <c r="CC233" s="90"/>
      <c r="CD233" s="90"/>
      <c r="CE233" s="90"/>
      <c r="CF233" s="90"/>
    </row>
    <row r="234" spans="1:84">
      <c r="A234" s="96"/>
      <c r="B234" s="96"/>
      <c r="C234" s="96"/>
      <c r="D234" s="96"/>
      <c r="E234" s="96"/>
      <c r="F234" s="96"/>
      <c r="G234" s="97"/>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BN234" s="96"/>
      <c r="BO234" s="96"/>
      <c r="BP234" s="96"/>
      <c r="BQ234" s="96"/>
      <c r="BR234" s="96"/>
      <c r="BS234" s="96"/>
      <c r="BT234" s="96"/>
      <c r="BU234" s="96"/>
      <c r="BV234" s="96"/>
      <c r="BW234" s="96"/>
      <c r="BX234" s="96"/>
      <c r="BY234" s="96"/>
      <c r="BZ234" s="96"/>
      <c r="CA234" s="96"/>
      <c r="CB234" s="96"/>
      <c r="CC234" s="90"/>
      <c r="CD234" s="90"/>
      <c r="CE234" s="90"/>
      <c r="CF234" s="90"/>
    </row>
    <row r="235" spans="1:84">
      <c r="A235" s="96"/>
      <c r="B235" s="96"/>
      <c r="C235" s="96"/>
      <c r="D235" s="96"/>
      <c r="E235" s="96"/>
      <c r="F235" s="96"/>
      <c r="G235" s="97"/>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96"/>
      <c r="BC235" s="96"/>
      <c r="BD235" s="96"/>
      <c r="BE235" s="96"/>
      <c r="BF235" s="96"/>
      <c r="BG235" s="96"/>
      <c r="BH235" s="96"/>
      <c r="BI235" s="96"/>
      <c r="BJ235" s="96"/>
      <c r="BK235" s="96"/>
      <c r="BL235" s="96"/>
      <c r="BM235" s="96"/>
      <c r="BN235" s="96"/>
      <c r="BO235" s="96"/>
      <c r="BP235" s="96"/>
      <c r="BQ235" s="96"/>
      <c r="BR235" s="96"/>
      <c r="BS235" s="96"/>
      <c r="BT235" s="96"/>
      <c r="BU235" s="96"/>
      <c r="BV235" s="96"/>
      <c r="BW235" s="96"/>
      <c r="BX235" s="96"/>
      <c r="BY235" s="96"/>
      <c r="BZ235" s="96"/>
      <c r="CA235" s="96"/>
      <c r="CB235" s="96"/>
      <c r="CC235" s="90"/>
      <c r="CD235" s="90"/>
      <c r="CE235" s="90"/>
      <c r="CF235" s="90"/>
    </row>
    <row r="236" spans="1:84">
      <c r="A236" s="96"/>
      <c r="B236" s="96"/>
      <c r="C236" s="96"/>
      <c r="D236" s="96"/>
      <c r="E236" s="96"/>
      <c r="F236" s="96"/>
      <c r="G236" s="97"/>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BN236" s="96"/>
      <c r="BO236" s="96"/>
      <c r="BP236" s="96"/>
      <c r="BQ236" s="96"/>
      <c r="BR236" s="96"/>
      <c r="BS236" s="96"/>
      <c r="BT236" s="96"/>
      <c r="BU236" s="96"/>
      <c r="BV236" s="96"/>
      <c r="BW236" s="96"/>
      <c r="BX236" s="96"/>
      <c r="BY236" s="96"/>
      <c r="BZ236" s="96"/>
      <c r="CA236" s="96"/>
      <c r="CB236" s="96"/>
      <c r="CC236" s="90"/>
      <c r="CD236" s="90"/>
      <c r="CE236" s="90"/>
      <c r="CF236" s="90"/>
    </row>
    <row r="237" spans="1:84">
      <c r="A237" s="96"/>
      <c r="B237" s="96"/>
      <c r="C237" s="96"/>
      <c r="D237" s="96"/>
      <c r="E237" s="96"/>
      <c r="F237" s="96"/>
      <c r="G237" s="97"/>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BN237" s="96"/>
      <c r="BO237" s="96"/>
      <c r="BP237" s="96"/>
      <c r="BQ237" s="96"/>
      <c r="BR237" s="96"/>
      <c r="BS237" s="96"/>
      <c r="BT237" s="96"/>
      <c r="BU237" s="96"/>
      <c r="BV237" s="96"/>
      <c r="BW237" s="96"/>
      <c r="BX237" s="96"/>
      <c r="BY237" s="96"/>
      <c r="BZ237" s="96"/>
      <c r="CA237" s="96"/>
      <c r="CB237" s="96"/>
      <c r="CC237" s="90"/>
      <c r="CD237" s="90"/>
      <c r="CE237" s="90"/>
      <c r="CF237" s="90"/>
    </row>
    <row r="238" spans="1:84">
      <c r="A238" s="96"/>
      <c r="B238" s="96"/>
      <c r="C238" s="96"/>
      <c r="D238" s="96"/>
      <c r="E238" s="96"/>
      <c r="F238" s="96"/>
      <c r="G238" s="97"/>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c r="BE238" s="96"/>
      <c r="BF238" s="96"/>
      <c r="BG238" s="96"/>
      <c r="BH238" s="96"/>
      <c r="BI238" s="96"/>
      <c r="BJ238" s="96"/>
      <c r="BK238" s="96"/>
      <c r="BL238" s="96"/>
      <c r="BM238" s="96"/>
      <c r="BN238" s="96"/>
      <c r="BO238" s="96"/>
      <c r="BP238" s="96"/>
      <c r="BQ238" s="96"/>
      <c r="BR238" s="96"/>
      <c r="BS238" s="96"/>
      <c r="BT238" s="96"/>
      <c r="BU238" s="96"/>
      <c r="BV238" s="96"/>
      <c r="BW238" s="96"/>
      <c r="BX238" s="96"/>
      <c r="BY238" s="96"/>
      <c r="BZ238" s="96"/>
      <c r="CA238" s="96"/>
      <c r="CB238" s="96"/>
      <c r="CC238" s="90"/>
      <c r="CD238" s="90"/>
      <c r="CE238" s="90"/>
      <c r="CF238" s="90"/>
    </row>
    <row r="239" spans="1:84">
      <c r="A239" s="96"/>
      <c r="B239" s="96"/>
      <c r="C239" s="96"/>
      <c r="D239" s="96"/>
      <c r="E239" s="96"/>
      <c r="F239" s="96"/>
      <c r="G239" s="97"/>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c r="BE239" s="96"/>
      <c r="BF239" s="96"/>
      <c r="BG239" s="96"/>
      <c r="BH239" s="96"/>
      <c r="BI239" s="96"/>
      <c r="BJ239" s="96"/>
      <c r="BK239" s="96"/>
      <c r="BL239" s="96"/>
      <c r="BM239" s="96"/>
      <c r="BN239" s="96"/>
      <c r="BO239" s="96"/>
      <c r="BP239" s="96"/>
      <c r="BQ239" s="96"/>
      <c r="BR239" s="96"/>
      <c r="BS239" s="96"/>
      <c r="BT239" s="96"/>
      <c r="BU239" s="96"/>
      <c r="BV239" s="96"/>
      <c r="BW239" s="96"/>
      <c r="BX239" s="96"/>
      <c r="BY239" s="96"/>
      <c r="BZ239" s="96"/>
      <c r="CA239" s="96"/>
      <c r="CB239" s="96"/>
      <c r="CC239" s="90"/>
      <c r="CD239" s="90"/>
      <c r="CE239" s="90"/>
      <c r="CF239" s="90"/>
    </row>
    <row r="240" spans="1:84">
      <c r="A240" s="96"/>
      <c r="B240" s="96"/>
      <c r="C240" s="96"/>
      <c r="D240" s="96"/>
      <c r="E240" s="96"/>
      <c r="F240" s="96"/>
      <c r="G240" s="97"/>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96"/>
      <c r="BS240" s="96"/>
      <c r="BT240" s="96"/>
      <c r="BU240" s="96"/>
      <c r="BV240" s="96"/>
      <c r="BW240" s="96"/>
      <c r="BX240" s="96"/>
      <c r="BY240" s="96"/>
      <c r="BZ240" s="96"/>
      <c r="CA240" s="96"/>
      <c r="CB240" s="96"/>
      <c r="CC240" s="90"/>
      <c r="CD240" s="90"/>
      <c r="CE240" s="90"/>
      <c r="CF240" s="90"/>
    </row>
    <row r="241" spans="1:84">
      <c r="A241" s="96"/>
      <c r="B241" s="96"/>
      <c r="C241" s="96"/>
      <c r="D241" s="96"/>
      <c r="E241" s="96"/>
      <c r="F241" s="96"/>
      <c r="G241" s="97"/>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6"/>
      <c r="AY241" s="96"/>
      <c r="AZ241" s="96"/>
      <c r="BA241" s="96"/>
      <c r="BB241" s="96"/>
      <c r="BC241" s="96"/>
      <c r="BD241" s="96"/>
      <c r="BE241" s="96"/>
      <c r="BF241" s="96"/>
      <c r="BG241" s="96"/>
      <c r="BH241" s="96"/>
      <c r="BI241" s="96"/>
      <c r="BJ241" s="96"/>
      <c r="BK241" s="96"/>
      <c r="BL241" s="96"/>
      <c r="BM241" s="96"/>
      <c r="BN241" s="96"/>
      <c r="BO241" s="96"/>
      <c r="BP241" s="96"/>
      <c r="BQ241" s="96"/>
      <c r="BR241" s="96"/>
      <c r="BS241" s="96"/>
      <c r="BT241" s="96"/>
      <c r="BU241" s="96"/>
      <c r="BV241" s="96"/>
      <c r="BW241" s="96"/>
      <c r="BX241" s="96"/>
      <c r="BY241" s="96"/>
      <c r="BZ241" s="96"/>
      <c r="CA241" s="96"/>
      <c r="CB241" s="96"/>
      <c r="CC241" s="90"/>
      <c r="CD241" s="90"/>
      <c r="CE241" s="90"/>
      <c r="CF241" s="90"/>
    </row>
    <row r="242" spans="1:84">
      <c r="A242" s="96"/>
      <c r="B242" s="96"/>
      <c r="C242" s="96"/>
      <c r="D242" s="96"/>
      <c r="E242" s="96"/>
      <c r="F242" s="96"/>
      <c r="G242" s="97"/>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s="96"/>
      <c r="BA242" s="96"/>
      <c r="BB242" s="96"/>
      <c r="BC242" s="96"/>
      <c r="BD242" s="96"/>
      <c r="BE242" s="96"/>
      <c r="BF242" s="96"/>
      <c r="BG242" s="96"/>
      <c r="BH242" s="96"/>
      <c r="BI242" s="96"/>
      <c r="BJ242" s="96"/>
      <c r="BK242" s="96"/>
      <c r="BL242" s="96"/>
      <c r="BM242" s="96"/>
      <c r="BN242" s="96"/>
      <c r="BO242" s="96"/>
      <c r="BP242" s="96"/>
      <c r="BQ242" s="96"/>
      <c r="BR242" s="96"/>
      <c r="BS242" s="96"/>
      <c r="BT242" s="96"/>
      <c r="BU242" s="96"/>
      <c r="BV242" s="96"/>
      <c r="BW242" s="96"/>
      <c r="BX242" s="96"/>
      <c r="BY242" s="96"/>
      <c r="BZ242" s="96"/>
      <c r="CA242" s="96"/>
      <c r="CB242" s="96"/>
      <c r="CC242" s="90"/>
      <c r="CD242" s="90"/>
      <c r="CE242" s="90"/>
      <c r="CF242" s="90"/>
    </row>
    <row r="243" spans="1:84">
      <c r="A243" s="96"/>
      <c r="B243" s="96"/>
      <c r="C243" s="96"/>
      <c r="D243" s="96"/>
      <c r="E243" s="96"/>
      <c r="F243" s="96"/>
      <c r="G243" s="97"/>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c r="BE243" s="96"/>
      <c r="BF243" s="96"/>
      <c r="BG243" s="96"/>
      <c r="BH243" s="96"/>
      <c r="BI243" s="96"/>
      <c r="BJ243" s="96"/>
      <c r="BK243" s="96"/>
      <c r="BL243" s="96"/>
      <c r="BM243" s="96"/>
      <c r="BN243" s="96"/>
      <c r="BO243" s="96"/>
      <c r="BP243" s="96"/>
      <c r="BQ243" s="96"/>
      <c r="BR243" s="96"/>
      <c r="BS243" s="96"/>
      <c r="BT243" s="96"/>
      <c r="BU243" s="96"/>
      <c r="BV243" s="96"/>
      <c r="BW243" s="96"/>
      <c r="BX243" s="96"/>
      <c r="BY243" s="96"/>
      <c r="BZ243" s="96"/>
      <c r="CA243" s="96"/>
      <c r="CB243" s="96"/>
      <c r="CC243" s="90"/>
      <c r="CD243" s="90"/>
      <c r="CE243" s="90"/>
      <c r="CF243" s="90"/>
    </row>
    <row r="244" spans="1:84">
      <c r="A244" s="96"/>
      <c r="B244" s="96"/>
      <c r="C244" s="96"/>
      <c r="D244" s="96"/>
      <c r="E244" s="96"/>
      <c r="F244" s="96"/>
      <c r="G244" s="97"/>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6"/>
      <c r="BE244" s="96"/>
      <c r="BF244" s="96"/>
      <c r="BG244" s="96"/>
      <c r="BH244" s="96"/>
      <c r="BI244" s="96"/>
      <c r="BJ244" s="96"/>
      <c r="BK244" s="96"/>
      <c r="BL244" s="96"/>
      <c r="BM244" s="96"/>
      <c r="BN244" s="96"/>
      <c r="BO244" s="96"/>
      <c r="BP244" s="96"/>
      <c r="BQ244" s="96"/>
      <c r="BR244" s="96"/>
      <c r="BS244" s="96"/>
      <c r="BT244" s="96"/>
      <c r="BU244" s="96"/>
      <c r="BV244" s="96"/>
      <c r="BW244" s="96"/>
      <c r="BX244" s="96"/>
      <c r="BY244" s="96"/>
      <c r="BZ244" s="96"/>
      <c r="CA244" s="96"/>
      <c r="CB244" s="96"/>
      <c r="CC244" s="90"/>
      <c r="CD244" s="90"/>
      <c r="CE244" s="90"/>
      <c r="CF244" s="90"/>
    </row>
    <row r="245" spans="1:84">
      <c r="A245" s="96"/>
      <c r="B245" s="96"/>
      <c r="C245" s="96"/>
      <c r="D245" s="96"/>
      <c r="E245" s="96"/>
      <c r="F245" s="96"/>
      <c r="G245" s="97"/>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c r="BE245" s="96"/>
      <c r="BF245" s="96"/>
      <c r="BG245" s="96"/>
      <c r="BH245" s="96"/>
      <c r="BI245" s="96"/>
      <c r="BJ245" s="96"/>
      <c r="BK245" s="96"/>
      <c r="BL245" s="96"/>
      <c r="BM245" s="96"/>
      <c r="BN245" s="96"/>
      <c r="BO245" s="96"/>
      <c r="BP245" s="96"/>
      <c r="BQ245" s="96"/>
      <c r="BR245" s="96"/>
      <c r="BS245" s="96"/>
      <c r="BT245" s="96"/>
      <c r="BU245" s="96"/>
      <c r="BV245" s="96"/>
      <c r="BW245" s="96"/>
      <c r="BX245" s="96"/>
      <c r="BY245" s="96"/>
      <c r="BZ245" s="96"/>
      <c r="CA245" s="96"/>
      <c r="CB245" s="96"/>
      <c r="CC245" s="90"/>
      <c r="CD245" s="90"/>
      <c r="CE245" s="90"/>
      <c r="CF245" s="90"/>
    </row>
    <row r="246" spans="1:84">
      <c r="A246" s="96"/>
      <c r="B246" s="96"/>
      <c r="C246" s="96"/>
      <c r="D246" s="96"/>
      <c r="E246" s="96"/>
      <c r="F246" s="96"/>
      <c r="G246" s="97"/>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c r="BO246" s="96"/>
      <c r="BP246" s="96"/>
      <c r="BQ246" s="96"/>
      <c r="BR246" s="96"/>
      <c r="BS246" s="96"/>
      <c r="BT246" s="96"/>
      <c r="BU246" s="96"/>
      <c r="BV246" s="96"/>
      <c r="BW246" s="96"/>
      <c r="BX246" s="96"/>
      <c r="BY246" s="96"/>
      <c r="BZ246" s="96"/>
      <c r="CA246" s="96"/>
      <c r="CB246" s="96"/>
      <c r="CC246" s="90"/>
      <c r="CD246" s="90"/>
      <c r="CE246" s="90"/>
      <c r="CF246" s="90"/>
    </row>
    <row r="247" spans="1:84">
      <c r="A247" s="96"/>
      <c r="B247" s="96"/>
      <c r="C247" s="96"/>
      <c r="D247" s="96"/>
      <c r="E247" s="96"/>
      <c r="F247" s="96"/>
      <c r="G247" s="97"/>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s="96"/>
      <c r="BA247" s="96"/>
      <c r="BB247" s="96"/>
      <c r="BC247" s="96"/>
      <c r="BD247" s="96"/>
      <c r="BE247" s="96"/>
      <c r="BF247" s="96"/>
      <c r="BG247" s="96"/>
      <c r="BH247" s="96"/>
      <c r="BI247" s="96"/>
      <c r="BJ247" s="96"/>
      <c r="BK247" s="96"/>
      <c r="BL247" s="96"/>
      <c r="BM247" s="96"/>
      <c r="BN247" s="96"/>
      <c r="BO247" s="96"/>
      <c r="BP247" s="96"/>
      <c r="BQ247" s="96"/>
      <c r="BR247" s="96"/>
      <c r="BS247" s="96"/>
      <c r="BT247" s="96"/>
      <c r="BU247" s="96"/>
      <c r="BV247" s="96"/>
      <c r="BW247" s="96"/>
      <c r="BX247" s="96"/>
      <c r="BY247" s="96"/>
      <c r="BZ247" s="96"/>
      <c r="CA247" s="96"/>
      <c r="CB247" s="96"/>
      <c r="CC247" s="90"/>
      <c r="CD247" s="90"/>
      <c r="CE247" s="90"/>
      <c r="CF247" s="90"/>
    </row>
    <row r="248" spans="1:84">
      <c r="A248" s="96"/>
      <c r="B248" s="96"/>
      <c r="C248" s="96"/>
      <c r="D248" s="96"/>
      <c r="E248" s="96"/>
      <c r="F248" s="96"/>
      <c r="G248" s="97"/>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BN248" s="96"/>
      <c r="BO248" s="96"/>
      <c r="BP248" s="96"/>
      <c r="BQ248" s="96"/>
      <c r="BR248" s="96"/>
      <c r="BS248" s="96"/>
      <c r="BT248" s="96"/>
      <c r="BU248" s="96"/>
      <c r="BV248" s="96"/>
      <c r="BW248" s="96"/>
      <c r="BX248" s="96"/>
      <c r="BY248" s="96"/>
      <c r="BZ248" s="96"/>
      <c r="CA248" s="96"/>
      <c r="CB248" s="96"/>
      <c r="CC248" s="90"/>
      <c r="CD248" s="90"/>
      <c r="CE248" s="90"/>
      <c r="CF248" s="90"/>
    </row>
    <row r="249" spans="1:84">
      <c r="A249" s="96"/>
      <c r="B249" s="96"/>
      <c r="C249" s="96"/>
      <c r="D249" s="96"/>
      <c r="E249" s="96"/>
      <c r="F249" s="96"/>
      <c r="G249" s="97"/>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6"/>
      <c r="BL249" s="96"/>
      <c r="BM249" s="96"/>
      <c r="BN249" s="96"/>
      <c r="BO249" s="96"/>
      <c r="BP249" s="96"/>
      <c r="BQ249" s="96"/>
      <c r="BR249" s="96"/>
      <c r="BS249" s="96"/>
      <c r="BT249" s="96"/>
      <c r="BU249" s="96"/>
      <c r="BV249" s="96"/>
      <c r="BW249" s="96"/>
      <c r="BX249" s="96"/>
      <c r="BY249" s="96"/>
      <c r="BZ249" s="96"/>
      <c r="CA249" s="96"/>
      <c r="CB249" s="96"/>
      <c r="CC249" s="90"/>
      <c r="CD249" s="90"/>
      <c r="CE249" s="90"/>
      <c r="CF249" s="90"/>
    </row>
    <row r="250" spans="1:84">
      <c r="A250" s="96"/>
      <c r="B250" s="96"/>
      <c r="C250" s="96"/>
      <c r="D250" s="96"/>
      <c r="E250" s="96"/>
      <c r="F250" s="96"/>
      <c r="G250" s="97"/>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c r="BE250" s="96"/>
      <c r="BF250" s="96"/>
      <c r="BG250" s="96"/>
      <c r="BH250" s="96"/>
      <c r="BI250" s="96"/>
      <c r="BJ250" s="96"/>
      <c r="BK250" s="96"/>
      <c r="BL250" s="96"/>
      <c r="BM250" s="96"/>
      <c r="BN250" s="96"/>
      <c r="BO250" s="96"/>
      <c r="BP250" s="96"/>
      <c r="BQ250" s="96"/>
      <c r="BR250" s="96"/>
      <c r="BS250" s="96"/>
      <c r="BT250" s="96"/>
      <c r="BU250" s="96"/>
      <c r="BV250" s="96"/>
      <c r="BW250" s="96"/>
      <c r="BX250" s="96"/>
      <c r="BY250" s="96"/>
      <c r="BZ250" s="96"/>
      <c r="CA250" s="96"/>
      <c r="CB250" s="96"/>
      <c r="CC250" s="90"/>
      <c r="CD250" s="90"/>
      <c r="CE250" s="90"/>
      <c r="CF250" s="90"/>
    </row>
    <row r="251" spans="1:84">
      <c r="A251" s="96"/>
      <c r="B251" s="96"/>
      <c r="C251" s="96"/>
      <c r="D251" s="96"/>
      <c r="E251" s="96"/>
      <c r="F251" s="96"/>
      <c r="G251" s="97"/>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c r="BZ251" s="96"/>
      <c r="CA251" s="96"/>
      <c r="CB251" s="96"/>
      <c r="CC251" s="90"/>
      <c r="CD251" s="90"/>
      <c r="CE251" s="90"/>
      <c r="CF251" s="90"/>
    </row>
    <row r="252" spans="1:84">
      <c r="A252" s="96"/>
      <c r="B252" s="96"/>
      <c r="C252" s="96"/>
      <c r="D252" s="96"/>
      <c r="E252" s="96"/>
      <c r="F252" s="96"/>
      <c r="G252" s="97"/>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c r="BZ252" s="96"/>
      <c r="CA252" s="96"/>
      <c r="CB252" s="96"/>
      <c r="CC252" s="90"/>
      <c r="CD252" s="90"/>
      <c r="CE252" s="90"/>
      <c r="CF252" s="90"/>
    </row>
    <row r="253" spans="1:84">
      <c r="A253" s="96"/>
      <c r="B253" s="96"/>
      <c r="C253" s="96"/>
      <c r="D253" s="96"/>
      <c r="E253" s="96"/>
      <c r="F253" s="96"/>
      <c r="G253" s="97"/>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6"/>
      <c r="BR253" s="96"/>
      <c r="BS253" s="96"/>
      <c r="BT253" s="96"/>
      <c r="BU253" s="96"/>
      <c r="BV253" s="96"/>
      <c r="BW253" s="96"/>
      <c r="BX253" s="96"/>
      <c r="BY253" s="96"/>
      <c r="BZ253" s="96"/>
      <c r="CA253" s="96"/>
      <c r="CB253" s="96"/>
      <c r="CC253" s="90"/>
      <c r="CD253" s="90"/>
      <c r="CE253" s="90"/>
      <c r="CF253" s="90"/>
    </row>
    <row r="254" spans="1:84">
      <c r="A254" s="96"/>
      <c r="B254" s="96"/>
      <c r="C254" s="96"/>
      <c r="D254" s="96"/>
      <c r="E254" s="96"/>
      <c r="F254" s="96"/>
      <c r="G254" s="97"/>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6"/>
      <c r="BR254" s="96"/>
      <c r="BS254" s="96"/>
      <c r="BT254" s="96"/>
      <c r="BU254" s="96"/>
      <c r="BV254" s="96"/>
      <c r="BW254" s="96"/>
      <c r="BX254" s="96"/>
      <c r="BY254" s="96"/>
      <c r="BZ254" s="96"/>
      <c r="CA254" s="96"/>
      <c r="CB254" s="96"/>
      <c r="CC254" s="90"/>
      <c r="CD254" s="90"/>
      <c r="CE254" s="90"/>
      <c r="CF254" s="90"/>
    </row>
    <row r="255" spans="1:84">
      <c r="A255" s="96"/>
      <c r="B255" s="96"/>
      <c r="C255" s="96"/>
      <c r="D255" s="96"/>
      <c r="E255" s="96"/>
      <c r="F255" s="96"/>
      <c r="G255" s="97"/>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6"/>
      <c r="BR255" s="96"/>
      <c r="BS255" s="96"/>
      <c r="BT255" s="96"/>
      <c r="BU255" s="96"/>
      <c r="BV255" s="96"/>
      <c r="BW255" s="96"/>
      <c r="BX255" s="96"/>
      <c r="BY255" s="96"/>
      <c r="BZ255" s="96"/>
      <c r="CA255" s="96"/>
      <c r="CB255" s="96"/>
      <c r="CC255" s="90"/>
      <c r="CD255" s="90"/>
      <c r="CE255" s="90"/>
      <c r="CF255" s="90"/>
    </row>
    <row r="256" spans="1:84">
      <c r="A256" s="96"/>
      <c r="B256" s="96"/>
      <c r="C256" s="96"/>
      <c r="D256" s="96"/>
      <c r="E256" s="96"/>
      <c r="F256" s="96"/>
      <c r="G256" s="97"/>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c r="BO256" s="96"/>
      <c r="BP256" s="96"/>
      <c r="BQ256" s="96"/>
      <c r="BR256" s="96"/>
      <c r="BS256" s="96"/>
      <c r="BT256" s="96"/>
      <c r="BU256" s="96"/>
      <c r="BV256" s="96"/>
      <c r="BW256" s="96"/>
      <c r="BX256" s="96"/>
      <c r="BY256" s="96"/>
      <c r="BZ256" s="96"/>
      <c r="CA256" s="96"/>
      <c r="CB256" s="96"/>
      <c r="CC256" s="90"/>
      <c r="CD256" s="90"/>
      <c r="CE256" s="90"/>
      <c r="CF256" s="90"/>
    </row>
    <row r="257" spans="1:84">
      <c r="A257" s="96"/>
      <c r="B257" s="96"/>
      <c r="C257" s="96"/>
      <c r="D257" s="96"/>
      <c r="E257" s="96"/>
      <c r="F257" s="96"/>
      <c r="G257" s="97"/>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c r="BE257" s="96"/>
      <c r="BF257" s="96"/>
      <c r="BG257" s="96"/>
      <c r="BH257" s="96"/>
      <c r="BI257" s="96"/>
      <c r="BJ257" s="96"/>
      <c r="BK257" s="96"/>
      <c r="BL257" s="96"/>
      <c r="BM257" s="96"/>
      <c r="BN257" s="96"/>
      <c r="BO257" s="96"/>
      <c r="BP257" s="96"/>
      <c r="BQ257" s="96"/>
      <c r="BR257" s="96"/>
      <c r="BS257" s="96"/>
      <c r="BT257" s="96"/>
      <c r="BU257" s="96"/>
      <c r="BV257" s="96"/>
      <c r="BW257" s="96"/>
      <c r="BX257" s="96"/>
      <c r="BY257" s="96"/>
      <c r="BZ257" s="96"/>
      <c r="CA257" s="96"/>
      <c r="CB257" s="96"/>
      <c r="CC257" s="90"/>
      <c r="CD257" s="90"/>
      <c r="CE257" s="90"/>
      <c r="CF257" s="90"/>
    </row>
    <row r="258" spans="1:84">
      <c r="A258" s="96"/>
      <c r="B258" s="96"/>
      <c r="C258" s="96"/>
      <c r="D258" s="96"/>
      <c r="E258" s="96"/>
      <c r="F258" s="96"/>
      <c r="G258" s="97"/>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c r="BE258" s="96"/>
      <c r="BF258" s="96"/>
      <c r="BG258" s="96"/>
      <c r="BH258" s="96"/>
      <c r="BI258" s="96"/>
      <c r="BJ258" s="96"/>
      <c r="BK258" s="96"/>
      <c r="BL258" s="96"/>
      <c r="BM258" s="96"/>
      <c r="BN258" s="96"/>
      <c r="BO258" s="96"/>
      <c r="BP258" s="96"/>
      <c r="BQ258" s="96"/>
      <c r="BR258" s="96"/>
      <c r="BS258" s="96"/>
      <c r="BT258" s="96"/>
      <c r="BU258" s="96"/>
      <c r="BV258" s="96"/>
      <c r="BW258" s="96"/>
      <c r="BX258" s="96"/>
      <c r="BY258" s="96"/>
      <c r="BZ258" s="96"/>
      <c r="CA258" s="96"/>
      <c r="CB258" s="96"/>
      <c r="CC258" s="90"/>
      <c r="CD258" s="90"/>
      <c r="CE258" s="90"/>
      <c r="CF258" s="90"/>
    </row>
    <row r="259" spans="1:84">
      <c r="A259" s="96"/>
      <c r="B259" s="96"/>
      <c r="C259" s="96"/>
      <c r="D259" s="96"/>
      <c r="E259" s="96"/>
      <c r="F259" s="96"/>
      <c r="G259" s="97"/>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J259" s="96"/>
      <c r="BK259" s="96"/>
      <c r="BL259" s="96"/>
      <c r="BM259" s="96"/>
      <c r="BN259" s="96"/>
      <c r="BO259" s="96"/>
      <c r="BP259" s="96"/>
      <c r="BQ259" s="96"/>
      <c r="BR259" s="96"/>
      <c r="BS259" s="96"/>
      <c r="BT259" s="96"/>
      <c r="BU259" s="96"/>
      <c r="BV259" s="96"/>
      <c r="BW259" s="96"/>
      <c r="BX259" s="96"/>
      <c r="BY259" s="96"/>
      <c r="BZ259" s="96"/>
      <c r="CA259" s="96"/>
      <c r="CB259" s="96"/>
      <c r="CC259" s="90"/>
      <c r="CD259" s="90"/>
      <c r="CE259" s="90"/>
      <c r="CF259" s="90"/>
    </row>
    <row r="260" spans="1:84">
      <c r="A260" s="96"/>
      <c r="B260" s="96"/>
      <c r="C260" s="96"/>
      <c r="D260" s="96"/>
      <c r="E260" s="96"/>
      <c r="F260" s="96"/>
      <c r="G260" s="97"/>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6"/>
      <c r="BR260" s="96"/>
      <c r="BS260" s="96"/>
      <c r="BT260" s="96"/>
      <c r="BU260" s="96"/>
      <c r="BV260" s="96"/>
      <c r="BW260" s="96"/>
      <c r="BX260" s="96"/>
      <c r="BY260" s="96"/>
      <c r="BZ260" s="96"/>
      <c r="CA260" s="96"/>
      <c r="CB260" s="96"/>
      <c r="CC260" s="90"/>
      <c r="CD260" s="90"/>
      <c r="CE260" s="90"/>
      <c r="CF260" s="90"/>
    </row>
    <row r="261" spans="1:84">
      <c r="A261" s="96"/>
      <c r="B261" s="96"/>
      <c r="C261" s="96"/>
      <c r="D261" s="96"/>
      <c r="E261" s="96"/>
      <c r="F261" s="96"/>
      <c r="G261" s="97"/>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6"/>
      <c r="BR261" s="96"/>
      <c r="BS261" s="96"/>
      <c r="BT261" s="96"/>
      <c r="BU261" s="96"/>
      <c r="BV261" s="96"/>
      <c r="BW261" s="96"/>
      <c r="BX261" s="96"/>
      <c r="BY261" s="96"/>
      <c r="BZ261" s="96"/>
      <c r="CA261" s="96"/>
      <c r="CB261" s="96"/>
      <c r="CC261" s="90"/>
      <c r="CD261" s="90"/>
      <c r="CE261" s="90"/>
      <c r="CF261" s="90"/>
    </row>
    <row r="262" spans="1:84">
      <c r="A262" s="96"/>
      <c r="B262" s="96"/>
      <c r="C262" s="96"/>
      <c r="D262" s="96"/>
      <c r="E262" s="96"/>
      <c r="F262" s="96"/>
      <c r="G262" s="97"/>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BN262" s="96"/>
      <c r="BO262" s="96"/>
      <c r="BP262" s="96"/>
      <c r="BQ262" s="96"/>
      <c r="BR262" s="96"/>
      <c r="BS262" s="96"/>
      <c r="BT262" s="96"/>
      <c r="BU262" s="96"/>
      <c r="BV262" s="96"/>
      <c r="BW262" s="96"/>
      <c r="BX262" s="96"/>
      <c r="BY262" s="96"/>
      <c r="BZ262" s="96"/>
      <c r="CA262" s="96"/>
      <c r="CB262" s="96"/>
      <c r="CC262" s="90"/>
      <c r="CD262" s="90"/>
      <c r="CE262" s="90"/>
      <c r="CF262" s="90"/>
    </row>
    <row r="263" spans="1:84">
      <c r="A263" s="96"/>
      <c r="B263" s="96"/>
      <c r="C263" s="96"/>
      <c r="D263" s="96"/>
      <c r="E263" s="96"/>
      <c r="F263" s="96"/>
      <c r="G263" s="97"/>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c r="BE263" s="96"/>
      <c r="BF263" s="96"/>
      <c r="BG263" s="96"/>
      <c r="BH263" s="96"/>
      <c r="BI263" s="96"/>
      <c r="BJ263" s="96"/>
      <c r="BK263" s="96"/>
      <c r="BL263" s="96"/>
      <c r="BM263" s="96"/>
      <c r="BN263" s="96"/>
      <c r="BO263" s="96"/>
      <c r="BP263" s="96"/>
      <c r="BQ263" s="96"/>
      <c r="BR263" s="96"/>
      <c r="BS263" s="96"/>
      <c r="BT263" s="96"/>
      <c r="BU263" s="96"/>
      <c r="BV263" s="96"/>
      <c r="BW263" s="96"/>
      <c r="BX263" s="96"/>
      <c r="BY263" s="96"/>
      <c r="BZ263" s="96"/>
      <c r="CA263" s="96"/>
      <c r="CB263" s="96"/>
      <c r="CC263" s="90"/>
      <c r="CD263" s="90"/>
      <c r="CE263" s="90"/>
      <c r="CF263" s="90"/>
    </row>
    <row r="264" spans="1:84">
      <c r="A264" s="96"/>
      <c r="B264" s="96"/>
      <c r="C264" s="96"/>
      <c r="D264" s="96"/>
      <c r="E264" s="96"/>
      <c r="F264" s="96"/>
      <c r="G264" s="97"/>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BN264" s="96"/>
      <c r="BO264" s="96"/>
      <c r="BP264" s="96"/>
      <c r="BQ264" s="96"/>
      <c r="BR264" s="96"/>
      <c r="BS264" s="96"/>
      <c r="BT264" s="96"/>
      <c r="BU264" s="96"/>
      <c r="BV264" s="96"/>
      <c r="BW264" s="96"/>
      <c r="BX264" s="96"/>
      <c r="BY264" s="96"/>
      <c r="BZ264" s="96"/>
      <c r="CA264" s="96"/>
      <c r="CB264" s="96"/>
      <c r="CC264" s="90"/>
      <c r="CD264" s="90"/>
      <c r="CE264" s="90"/>
      <c r="CF264" s="90"/>
    </row>
    <row r="265" spans="1:84">
      <c r="A265" s="96"/>
      <c r="B265" s="96"/>
      <c r="C265" s="96"/>
      <c r="D265" s="96"/>
      <c r="E265" s="96"/>
      <c r="F265" s="96"/>
      <c r="G265" s="97"/>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BN265" s="96"/>
      <c r="BO265" s="96"/>
      <c r="BP265" s="96"/>
      <c r="BQ265" s="96"/>
      <c r="BR265" s="96"/>
      <c r="BS265" s="96"/>
      <c r="BT265" s="96"/>
      <c r="BU265" s="96"/>
      <c r="BV265" s="96"/>
      <c r="BW265" s="96"/>
      <c r="BX265" s="96"/>
      <c r="BY265" s="96"/>
      <c r="BZ265" s="96"/>
      <c r="CA265" s="96"/>
      <c r="CB265" s="96"/>
      <c r="CC265" s="90"/>
      <c r="CD265" s="90"/>
      <c r="CE265" s="90"/>
      <c r="CF265" s="90"/>
    </row>
    <row r="266" spans="1:84">
      <c r="A266" s="96"/>
      <c r="B266" s="96"/>
      <c r="C266" s="96"/>
      <c r="D266" s="96"/>
      <c r="E266" s="96"/>
      <c r="F266" s="96"/>
      <c r="G266" s="97"/>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c r="BE266" s="96"/>
      <c r="BF266" s="96"/>
      <c r="BG266" s="96"/>
      <c r="BH266" s="96"/>
      <c r="BI266" s="96"/>
      <c r="BJ266" s="96"/>
      <c r="BK266" s="96"/>
      <c r="BL266" s="96"/>
      <c r="BM266" s="96"/>
      <c r="BN266" s="96"/>
      <c r="BO266" s="96"/>
      <c r="BP266" s="96"/>
      <c r="BQ266" s="96"/>
      <c r="BR266" s="96"/>
      <c r="BS266" s="96"/>
      <c r="BT266" s="96"/>
      <c r="BU266" s="96"/>
      <c r="BV266" s="96"/>
      <c r="BW266" s="96"/>
      <c r="BX266" s="96"/>
      <c r="BY266" s="96"/>
      <c r="BZ266" s="96"/>
      <c r="CA266" s="96"/>
      <c r="CB266" s="96"/>
      <c r="CC266" s="90"/>
      <c r="CD266" s="90"/>
      <c r="CE266" s="90"/>
      <c r="CF266" s="90"/>
    </row>
    <row r="267" spans="1:84">
      <c r="A267" s="96"/>
      <c r="B267" s="96"/>
      <c r="C267" s="96"/>
      <c r="D267" s="96"/>
      <c r="E267" s="96"/>
      <c r="F267" s="96"/>
      <c r="G267" s="97"/>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BN267" s="96"/>
      <c r="BO267" s="96"/>
      <c r="BP267" s="96"/>
      <c r="BQ267" s="96"/>
      <c r="BR267" s="96"/>
      <c r="BS267" s="96"/>
      <c r="BT267" s="96"/>
      <c r="BU267" s="96"/>
      <c r="BV267" s="96"/>
      <c r="BW267" s="96"/>
      <c r="BX267" s="96"/>
      <c r="BY267" s="96"/>
      <c r="BZ267" s="96"/>
      <c r="CA267" s="96"/>
      <c r="CB267" s="96"/>
      <c r="CC267" s="90"/>
      <c r="CD267" s="90"/>
      <c r="CE267" s="90"/>
      <c r="CF267" s="90"/>
    </row>
    <row r="268" spans="1:84">
      <c r="A268" s="96"/>
      <c r="B268" s="96"/>
      <c r="C268" s="96"/>
      <c r="D268" s="96"/>
      <c r="E268" s="96"/>
      <c r="F268" s="96"/>
      <c r="G268" s="97"/>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c r="BO268" s="96"/>
      <c r="BP268" s="96"/>
      <c r="BQ268" s="96"/>
      <c r="BR268" s="96"/>
      <c r="BS268" s="96"/>
      <c r="BT268" s="96"/>
      <c r="BU268" s="96"/>
      <c r="BV268" s="96"/>
      <c r="BW268" s="96"/>
      <c r="BX268" s="96"/>
      <c r="BY268" s="96"/>
      <c r="BZ268" s="96"/>
      <c r="CA268" s="96"/>
      <c r="CB268" s="96"/>
      <c r="CC268" s="90"/>
      <c r="CD268" s="90"/>
      <c r="CE268" s="90"/>
      <c r="CF268" s="90"/>
    </row>
    <row r="269" spans="1:84">
      <c r="A269" s="96"/>
      <c r="B269" s="96"/>
      <c r="C269" s="96"/>
      <c r="D269" s="96"/>
      <c r="E269" s="96"/>
      <c r="F269" s="96"/>
      <c r="G269" s="97"/>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6"/>
      <c r="AW269" s="96"/>
      <c r="AX269" s="96"/>
      <c r="AY269" s="96"/>
      <c r="AZ269" s="96"/>
      <c r="BA269" s="96"/>
      <c r="BB269" s="96"/>
      <c r="BC269" s="96"/>
      <c r="BD269" s="96"/>
      <c r="BE269" s="96"/>
      <c r="BF269" s="96"/>
      <c r="BG269" s="96"/>
      <c r="BH269" s="96"/>
      <c r="BI269" s="96"/>
      <c r="BJ269" s="96"/>
      <c r="BK269" s="96"/>
      <c r="BL269" s="96"/>
      <c r="BM269" s="96"/>
      <c r="BN269" s="96"/>
      <c r="BO269" s="96"/>
      <c r="BP269" s="96"/>
      <c r="BQ269" s="96"/>
      <c r="BR269" s="96"/>
      <c r="BS269" s="96"/>
      <c r="BT269" s="96"/>
      <c r="BU269" s="96"/>
      <c r="BV269" s="96"/>
      <c r="BW269" s="96"/>
      <c r="BX269" s="96"/>
      <c r="BY269" s="96"/>
      <c r="BZ269" s="96"/>
      <c r="CA269" s="96"/>
      <c r="CB269" s="96"/>
      <c r="CC269" s="90"/>
      <c r="CD269" s="90"/>
      <c r="CE269" s="90"/>
      <c r="CF269" s="90"/>
    </row>
    <row r="270" spans="1:84">
      <c r="A270" s="96"/>
      <c r="B270" s="96"/>
      <c r="C270" s="96"/>
      <c r="D270" s="96"/>
      <c r="E270" s="96"/>
      <c r="F270" s="96"/>
      <c r="G270" s="97"/>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96"/>
      <c r="BQ270" s="96"/>
      <c r="BR270" s="96"/>
      <c r="BS270" s="96"/>
      <c r="BT270" s="96"/>
      <c r="BU270" s="96"/>
      <c r="BV270" s="96"/>
      <c r="BW270" s="96"/>
      <c r="BX270" s="96"/>
      <c r="BY270" s="96"/>
      <c r="BZ270" s="96"/>
      <c r="CA270" s="96"/>
      <c r="CB270" s="96"/>
      <c r="CC270" s="90"/>
      <c r="CD270" s="90"/>
      <c r="CE270" s="90"/>
      <c r="CF270" s="90"/>
    </row>
    <row r="271" spans="1:84">
      <c r="A271" s="96"/>
      <c r="B271" s="96"/>
      <c r="C271" s="96"/>
      <c r="D271" s="96"/>
      <c r="E271" s="96"/>
      <c r="F271" s="96"/>
      <c r="G271" s="97"/>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BN271" s="96"/>
      <c r="BO271" s="96"/>
      <c r="BP271" s="96"/>
      <c r="BQ271" s="96"/>
      <c r="BR271" s="96"/>
      <c r="BS271" s="96"/>
      <c r="BT271" s="96"/>
      <c r="BU271" s="96"/>
      <c r="BV271" s="96"/>
      <c r="BW271" s="96"/>
      <c r="BX271" s="96"/>
      <c r="BY271" s="96"/>
      <c r="BZ271" s="96"/>
      <c r="CA271" s="96"/>
      <c r="CB271" s="96"/>
      <c r="CC271" s="90"/>
      <c r="CD271" s="90"/>
      <c r="CE271" s="90"/>
      <c r="CF271" s="90"/>
    </row>
    <row r="272" spans="1:84">
      <c r="A272" s="96"/>
      <c r="B272" s="96"/>
      <c r="C272" s="96"/>
      <c r="D272" s="96"/>
      <c r="E272" s="96"/>
      <c r="F272" s="96"/>
      <c r="G272" s="97"/>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6"/>
      <c r="BF272" s="96"/>
      <c r="BG272" s="96"/>
      <c r="BH272" s="96"/>
      <c r="BI272" s="96"/>
      <c r="BJ272" s="96"/>
      <c r="BK272" s="96"/>
      <c r="BL272" s="96"/>
      <c r="BM272" s="96"/>
      <c r="BN272" s="96"/>
      <c r="BO272" s="96"/>
      <c r="BP272" s="96"/>
      <c r="BQ272" s="96"/>
      <c r="BR272" s="96"/>
      <c r="BS272" s="96"/>
      <c r="BT272" s="96"/>
      <c r="BU272" s="96"/>
      <c r="BV272" s="96"/>
      <c r="BW272" s="96"/>
      <c r="BX272" s="96"/>
      <c r="BY272" s="96"/>
      <c r="BZ272" s="96"/>
      <c r="CA272" s="96"/>
      <c r="CB272" s="96"/>
      <c r="CC272" s="90"/>
      <c r="CD272" s="90"/>
      <c r="CE272" s="90"/>
      <c r="CF272" s="90"/>
    </row>
    <row r="273" spans="1:84">
      <c r="A273" s="96"/>
      <c r="B273" s="96"/>
      <c r="C273" s="96"/>
      <c r="D273" s="96"/>
      <c r="E273" s="96"/>
      <c r="F273" s="96"/>
      <c r="G273" s="97"/>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s="96"/>
      <c r="BA273" s="96"/>
      <c r="BB273" s="96"/>
      <c r="BC273" s="96"/>
      <c r="BD273" s="96"/>
      <c r="BE273" s="96"/>
      <c r="BF273" s="96"/>
      <c r="BG273" s="96"/>
      <c r="BH273" s="96"/>
      <c r="BI273" s="96"/>
      <c r="BJ273" s="96"/>
      <c r="BK273" s="96"/>
      <c r="BL273" s="96"/>
      <c r="BM273" s="96"/>
      <c r="BN273" s="96"/>
      <c r="BO273" s="96"/>
      <c r="BP273" s="96"/>
      <c r="BQ273" s="96"/>
      <c r="BR273" s="96"/>
      <c r="BS273" s="96"/>
      <c r="BT273" s="96"/>
      <c r="BU273" s="96"/>
      <c r="BV273" s="96"/>
      <c r="BW273" s="96"/>
      <c r="BX273" s="96"/>
      <c r="BY273" s="96"/>
      <c r="BZ273" s="96"/>
      <c r="CA273" s="96"/>
      <c r="CB273" s="96"/>
      <c r="CC273" s="90"/>
      <c r="CD273" s="90"/>
      <c r="CE273" s="90"/>
      <c r="CF273" s="90"/>
    </row>
    <row r="274" spans="1:84">
      <c r="A274" s="96"/>
      <c r="B274" s="96"/>
      <c r="C274" s="96"/>
      <c r="D274" s="96"/>
      <c r="E274" s="96"/>
      <c r="F274" s="96"/>
      <c r="G274" s="97"/>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6"/>
      <c r="BD274" s="96"/>
      <c r="BE274" s="96"/>
      <c r="BF274" s="96"/>
      <c r="BG274" s="96"/>
      <c r="BH274" s="96"/>
      <c r="BI274" s="96"/>
      <c r="BJ274" s="96"/>
      <c r="BK274" s="96"/>
      <c r="BL274" s="96"/>
      <c r="BM274" s="96"/>
      <c r="BN274" s="96"/>
      <c r="BO274" s="96"/>
      <c r="BP274" s="96"/>
      <c r="BQ274" s="96"/>
      <c r="BR274" s="96"/>
      <c r="BS274" s="96"/>
      <c r="BT274" s="96"/>
      <c r="BU274" s="96"/>
      <c r="BV274" s="96"/>
      <c r="BW274" s="96"/>
      <c r="BX274" s="96"/>
      <c r="BY274" s="96"/>
      <c r="BZ274" s="96"/>
      <c r="CA274" s="96"/>
      <c r="CB274" s="96"/>
      <c r="CC274" s="90"/>
      <c r="CD274" s="90"/>
      <c r="CE274" s="90"/>
      <c r="CF274" s="90"/>
    </row>
    <row r="275" spans="1:84">
      <c r="A275" s="96"/>
      <c r="B275" s="96"/>
      <c r="C275" s="96"/>
      <c r="D275" s="96"/>
      <c r="E275" s="96"/>
      <c r="F275" s="96"/>
      <c r="G275" s="97"/>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6"/>
      <c r="BD275" s="96"/>
      <c r="BE275" s="96"/>
      <c r="BF275" s="96"/>
      <c r="BG275" s="96"/>
      <c r="BH275" s="96"/>
      <c r="BI275" s="96"/>
      <c r="BJ275" s="96"/>
      <c r="BK275" s="96"/>
      <c r="BL275" s="96"/>
      <c r="BM275" s="96"/>
      <c r="BN275" s="96"/>
      <c r="BO275" s="96"/>
      <c r="BP275" s="96"/>
      <c r="BQ275" s="96"/>
      <c r="BR275" s="96"/>
      <c r="BS275" s="96"/>
      <c r="BT275" s="96"/>
      <c r="BU275" s="96"/>
      <c r="BV275" s="96"/>
      <c r="BW275" s="96"/>
      <c r="BX275" s="96"/>
      <c r="BY275" s="96"/>
      <c r="BZ275" s="96"/>
      <c r="CA275" s="96"/>
      <c r="CB275" s="96"/>
      <c r="CC275" s="90"/>
      <c r="CD275" s="90"/>
      <c r="CE275" s="90"/>
      <c r="CF275" s="90"/>
    </row>
    <row r="276" spans="1:84">
      <c r="A276" s="96"/>
      <c r="B276" s="96"/>
      <c r="C276" s="96"/>
      <c r="D276" s="96"/>
      <c r="E276" s="96"/>
      <c r="F276" s="96"/>
      <c r="G276" s="97"/>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96"/>
      <c r="BA276" s="96"/>
      <c r="BB276" s="96"/>
      <c r="BC276" s="96"/>
      <c r="BD276" s="96"/>
      <c r="BE276" s="96"/>
      <c r="BF276" s="96"/>
      <c r="BG276" s="96"/>
      <c r="BH276" s="96"/>
      <c r="BI276" s="96"/>
      <c r="BJ276" s="96"/>
      <c r="BK276" s="96"/>
      <c r="BL276" s="96"/>
      <c r="BM276" s="96"/>
      <c r="BN276" s="96"/>
      <c r="BO276" s="96"/>
      <c r="BP276" s="96"/>
      <c r="BQ276" s="96"/>
      <c r="BR276" s="96"/>
      <c r="BS276" s="96"/>
      <c r="BT276" s="96"/>
      <c r="BU276" s="96"/>
      <c r="BV276" s="96"/>
      <c r="BW276" s="96"/>
      <c r="BX276" s="96"/>
      <c r="BY276" s="96"/>
      <c r="BZ276" s="96"/>
      <c r="CA276" s="96"/>
      <c r="CB276" s="96"/>
      <c r="CC276" s="90"/>
      <c r="CD276" s="90"/>
      <c r="CE276" s="90"/>
      <c r="CF276" s="90"/>
    </row>
    <row r="277" spans="1:84">
      <c r="A277" s="96"/>
      <c r="B277" s="96"/>
      <c r="C277" s="96"/>
      <c r="D277" s="96"/>
      <c r="E277" s="96"/>
      <c r="F277" s="96"/>
      <c r="G277" s="97"/>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c r="AY277" s="96"/>
      <c r="AZ277" s="96"/>
      <c r="BA277" s="96"/>
      <c r="BB277" s="96"/>
      <c r="BC277" s="96"/>
      <c r="BD277" s="96"/>
      <c r="BE277" s="96"/>
      <c r="BF277" s="96"/>
      <c r="BG277" s="96"/>
      <c r="BH277" s="96"/>
      <c r="BI277" s="96"/>
      <c r="BJ277" s="96"/>
      <c r="BK277" s="96"/>
      <c r="BL277" s="96"/>
      <c r="BM277" s="96"/>
      <c r="BN277" s="96"/>
      <c r="BO277" s="96"/>
      <c r="BP277" s="96"/>
      <c r="BQ277" s="96"/>
      <c r="BR277" s="96"/>
      <c r="BS277" s="96"/>
      <c r="BT277" s="96"/>
      <c r="BU277" s="96"/>
      <c r="BV277" s="96"/>
      <c r="BW277" s="96"/>
      <c r="BX277" s="96"/>
      <c r="BY277" s="96"/>
      <c r="BZ277" s="96"/>
      <c r="CA277" s="96"/>
      <c r="CB277" s="96"/>
      <c r="CC277" s="90"/>
      <c r="CD277" s="90"/>
      <c r="CE277" s="90"/>
      <c r="CF277" s="90"/>
    </row>
    <row r="278" spans="1:84">
      <c r="A278" s="96"/>
      <c r="B278" s="96"/>
      <c r="C278" s="96"/>
      <c r="D278" s="96"/>
      <c r="E278" s="96"/>
      <c r="F278" s="96"/>
      <c r="G278" s="97"/>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s="96"/>
      <c r="BA278" s="96"/>
      <c r="BB278" s="96"/>
      <c r="BC278" s="96"/>
      <c r="BD278" s="96"/>
      <c r="BE278" s="96"/>
      <c r="BF278" s="96"/>
      <c r="BG278" s="96"/>
      <c r="BH278" s="96"/>
      <c r="BI278" s="96"/>
      <c r="BJ278" s="96"/>
      <c r="BK278" s="96"/>
      <c r="BL278" s="96"/>
      <c r="BM278" s="96"/>
      <c r="BN278" s="96"/>
      <c r="BO278" s="96"/>
      <c r="BP278" s="96"/>
      <c r="BQ278" s="96"/>
      <c r="BR278" s="96"/>
      <c r="BS278" s="96"/>
      <c r="BT278" s="96"/>
      <c r="BU278" s="96"/>
      <c r="BV278" s="96"/>
      <c r="BW278" s="96"/>
      <c r="BX278" s="96"/>
      <c r="BY278" s="96"/>
      <c r="BZ278" s="96"/>
      <c r="CA278" s="96"/>
      <c r="CB278" s="96"/>
      <c r="CC278" s="90"/>
      <c r="CD278" s="90"/>
      <c r="CE278" s="90"/>
      <c r="CF278" s="90"/>
    </row>
    <row r="279" spans="1:84">
      <c r="A279" s="96"/>
      <c r="B279" s="96"/>
      <c r="C279" s="96"/>
      <c r="D279" s="96"/>
      <c r="E279" s="96"/>
      <c r="F279" s="96"/>
      <c r="G279" s="97"/>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6"/>
      <c r="AY279" s="96"/>
      <c r="AZ279" s="96"/>
      <c r="BA279" s="96"/>
      <c r="BB279" s="96"/>
      <c r="BC279" s="96"/>
      <c r="BD279" s="96"/>
      <c r="BE279" s="96"/>
      <c r="BF279" s="96"/>
      <c r="BG279" s="96"/>
      <c r="BH279" s="96"/>
      <c r="BI279" s="96"/>
      <c r="BJ279" s="96"/>
      <c r="BK279" s="96"/>
      <c r="BL279" s="96"/>
      <c r="BM279" s="96"/>
      <c r="BN279" s="96"/>
      <c r="BO279" s="96"/>
      <c r="BP279" s="96"/>
      <c r="BQ279" s="96"/>
      <c r="BR279" s="96"/>
      <c r="BS279" s="96"/>
      <c r="BT279" s="96"/>
      <c r="BU279" s="96"/>
      <c r="BV279" s="96"/>
      <c r="BW279" s="96"/>
      <c r="BX279" s="96"/>
      <c r="BY279" s="96"/>
      <c r="BZ279" s="96"/>
      <c r="CA279" s="96"/>
      <c r="CB279" s="96"/>
      <c r="CC279" s="90"/>
      <c r="CD279" s="90"/>
      <c r="CE279" s="90"/>
      <c r="CF279" s="90"/>
    </row>
    <row r="280" spans="1:84">
      <c r="A280" s="96"/>
      <c r="B280" s="96"/>
      <c r="C280" s="96"/>
      <c r="D280" s="96"/>
      <c r="E280" s="96"/>
      <c r="F280" s="96"/>
      <c r="G280" s="97"/>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6"/>
      <c r="BD280" s="96"/>
      <c r="BE280" s="96"/>
      <c r="BF280" s="96"/>
      <c r="BG280" s="96"/>
      <c r="BH280" s="96"/>
      <c r="BI280" s="96"/>
      <c r="BJ280" s="96"/>
      <c r="BK280" s="96"/>
      <c r="BL280" s="96"/>
      <c r="BM280" s="96"/>
      <c r="BN280" s="96"/>
      <c r="BO280" s="96"/>
      <c r="BP280" s="96"/>
      <c r="BQ280" s="96"/>
      <c r="BR280" s="96"/>
      <c r="BS280" s="96"/>
      <c r="BT280" s="96"/>
      <c r="BU280" s="96"/>
      <c r="BV280" s="96"/>
      <c r="BW280" s="96"/>
      <c r="BX280" s="96"/>
      <c r="BY280" s="96"/>
      <c r="BZ280" s="96"/>
      <c r="CA280" s="96"/>
      <c r="CB280" s="96"/>
      <c r="CC280" s="90"/>
      <c r="CD280" s="90"/>
      <c r="CE280" s="90"/>
      <c r="CF280" s="90"/>
    </row>
    <row r="281" spans="1:84">
      <c r="A281" s="96"/>
      <c r="B281" s="96"/>
      <c r="C281" s="96"/>
      <c r="D281" s="96"/>
      <c r="E281" s="96"/>
      <c r="F281" s="96"/>
      <c r="G281" s="97"/>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96"/>
      <c r="BQ281" s="96"/>
      <c r="BR281" s="96"/>
      <c r="BS281" s="96"/>
      <c r="BT281" s="96"/>
      <c r="BU281" s="96"/>
      <c r="BV281" s="96"/>
      <c r="BW281" s="96"/>
      <c r="BX281" s="96"/>
      <c r="BY281" s="96"/>
      <c r="BZ281" s="96"/>
      <c r="CA281" s="96"/>
      <c r="CB281" s="96"/>
      <c r="CC281" s="90"/>
      <c r="CD281" s="90"/>
      <c r="CE281" s="90"/>
      <c r="CF281" s="90"/>
    </row>
    <row r="282" spans="1:84">
      <c r="A282" s="96"/>
      <c r="B282" s="96"/>
      <c r="C282" s="96"/>
      <c r="D282" s="96"/>
      <c r="E282" s="96"/>
      <c r="F282" s="96"/>
      <c r="G282" s="97"/>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c r="BE282" s="96"/>
      <c r="BF282" s="96"/>
      <c r="BG282" s="96"/>
      <c r="BH282" s="96"/>
      <c r="BI282" s="96"/>
      <c r="BJ282" s="96"/>
      <c r="BK282" s="96"/>
      <c r="BL282" s="96"/>
      <c r="BM282" s="96"/>
      <c r="BN282" s="96"/>
      <c r="BO282" s="96"/>
      <c r="BP282" s="96"/>
      <c r="BQ282" s="96"/>
      <c r="BR282" s="96"/>
      <c r="BS282" s="96"/>
      <c r="BT282" s="96"/>
      <c r="BU282" s="96"/>
      <c r="BV282" s="96"/>
      <c r="BW282" s="96"/>
      <c r="BX282" s="96"/>
      <c r="BY282" s="96"/>
      <c r="BZ282" s="96"/>
      <c r="CA282" s="96"/>
      <c r="CB282" s="96"/>
      <c r="CC282" s="90"/>
      <c r="CD282" s="90"/>
      <c r="CE282" s="90"/>
      <c r="CF282" s="90"/>
    </row>
    <row r="283" spans="1:84">
      <c r="A283" s="96"/>
      <c r="B283" s="96"/>
      <c r="C283" s="96"/>
      <c r="D283" s="96"/>
      <c r="E283" s="96"/>
      <c r="F283" s="96"/>
      <c r="G283" s="97"/>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c r="BZ283" s="96"/>
      <c r="CA283" s="96"/>
      <c r="CB283" s="96"/>
      <c r="CC283" s="90"/>
      <c r="CD283" s="90"/>
      <c r="CE283" s="90"/>
      <c r="CF283" s="90"/>
    </row>
    <row r="284" spans="1:84">
      <c r="A284" s="96"/>
      <c r="B284" s="96"/>
      <c r="C284" s="96"/>
      <c r="D284" s="96"/>
      <c r="E284" s="96"/>
      <c r="F284" s="96"/>
      <c r="G284" s="97"/>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6"/>
      <c r="BR284" s="96"/>
      <c r="BS284" s="96"/>
      <c r="BT284" s="96"/>
      <c r="BU284" s="96"/>
      <c r="BV284" s="96"/>
      <c r="BW284" s="96"/>
      <c r="BX284" s="96"/>
      <c r="BY284" s="96"/>
      <c r="BZ284" s="96"/>
      <c r="CA284" s="96"/>
      <c r="CB284" s="96"/>
      <c r="CC284" s="90"/>
      <c r="CD284" s="90"/>
      <c r="CE284" s="90"/>
      <c r="CF284" s="90"/>
    </row>
    <row r="285" spans="1:84">
      <c r="A285" s="96"/>
      <c r="B285" s="96"/>
      <c r="C285" s="96"/>
      <c r="D285" s="96"/>
      <c r="E285" s="96"/>
      <c r="F285" s="96"/>
      <c r="G285" s="97"/>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0"/>
      <c r="CD285" s="90"/>
      <c r="CE285" s="90"/>
      <c r="CF285" s="90"/>
    </row>
    <row r="286" spans="1:84">
      <c r="A286" s="96"/>
      <c r="B286" s="96"/>
      <c r="C286" s="96"/>
      <c r="D286" s="96"/>
      <c r="E286" s="96"/>
      <c r="F286" s="96"/>
      <c r="G286" s="97"/>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6"/>
      <c r="BR286" s="96"/>
      <c r="BS286" s="96"/>
      <c r="BT286" s="96"/>
      <c r="BU286" s="96"/>
      <c r="BV286" s="96"/>
      <c r="BW286" s="96"/>
      <c r="BX286" s="96"/>
      <c r="BY286" s="96"/>
      <c r="BZ286" s="96"/>
      <c r="CA286" s="96"/>
      <c r="CB286" s="96"/>
      <c r="CC286" s="90"/>
      <c r="CD286" s="90"/>
      <c r="CE286" s="90"/>
      <c r="CF286" s="90"/>
    </row>
    <row r="287" spans="1:84">
      <c r="A287" s="96"/>
      <c r="B287" s="96"/>
      <c r="C287" s="96"/>
      <c r="D287" s="96"/>
      <c r="E287" s="96"/>
      <c r="F287" s="96"/>
      <c r="G287" s="97"/>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c r="BE287" s="96"/>
      <c r="BF287" s="96"/>
      <c r="BG287" s="96"/>
      <c r="BH287" s="96"/>
      <c r="BI287" s="96"/>
      <c r="BJ287" s="96"/>
      <c r="BK287" s="96"/>
      <c r="BL287" s="96"/>
      <c r="BM287" s="96"/>
      <c r="BN287" s="96"/>
      <c r="BO287" s="96"/>
      <c r="BP287" s="96"/>
      <c r="BQ287" s="96"/>
      <c r="BR287" s="96"/>
      <c r="BS287" s="96"/>
      <c r="BT287" s="96"/>
      <c r="BU287" s="96"/>
      <c r="BV287" s="96"/>
      <c r="BW287" s="96"/>
      <c r="BX287" s="96"/>
      <c r="BY287" s="96"/>
      <c r="BZ287" s="96"/>
      <c r="CA287" s="96"/>
      <c r="CB287" s="96"/>
      <c r="CC287" s="90"/>
      <c r="CD287" s="90"/>
      <c r="CE287" s="90"/>
      <c r="CF287" s="90"/>
    </row>
    <row r="288" spans="1:84">
      <c r="A288" s="96"/>
      <c r="B288" s="96"/>
      <c r="C288" s="96"/>
      <c r="D288" s="96"/>
      <c r="E288" s="96"/>
      <c r="F288" s="96"/>
      <c r="G288" s="97"/>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c r="BJ288" s="96"/>
      <c r="BK288" s="96"/>
      <c r="BL288" s="96"/>
      <c r="BM288" s="96"/>
      <c r="BN288" s="96"/>
      <c r="BO288" s="96"/>
      <c r="BP288" s="96"/>
      <c r="BQ288" s="96"/>
      <c r="BR288" s="96"/>
      <c r="BS288" s="96"/>
      <c r="BT288" s="96"/>
      <c r="BU288" s="96"/>
      <c r="BV288" s="96"/>
      <c r="BW288" s="96"/>
      <c r="BX288" s="96"/>
      <c r="BY288" s="96"/>
      <c r="BZ288" s="96"/>
      <c r="CA288" s="96"/>
      <c r="CB288" s="96"/>
      <c r="CC288" s="90"/>
      <c r="CD288" s="90"/>
      <c r="CE288" s="90"/>
      <c r="CF288" s="90"/>
    </row>
    <row r="289" spans="1:80">
      <c r="A289" s="17"/>
      <c r="B289" s="17"/>
      <c r="C289" s="17"/>
      <c r="D289" s="17"/>
      <c r="E289" s="17"/>
      <c r="F289" s="17"/>
      <c r="G289" s="9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row>
    <row r="290" spans="1:80">
      <c r="A290" s="17"/>
      <c r="B290" s="17"/>
      <c r="C290" s="17"/>
      <c r="D290" s="17"/>
      <c r="E290" s="17"/>
      <c r="F290" s="17"/>
      <c r="G290" s="9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row>
    <row r="291" spans="1:80">
      <c r="A291" s="17"/>
      <c r="B291" s="17"/>
      <c r="C291" s="17"/>
      <c r="D291" s="17"/>
      <c r="E291" s="17"/>
      <c r="F291" s="17"/>
      <c r="G291" s="9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row>
  </sheetData>
  <sheetProtection password="F7EB" sheet="1" objects="1" scenarios="1"/>
  <mergeCells count="58">
    <mergeCell ref="AP103:AQ103"/>
    <mergeCell ref="H3:I3"/>
    <mergeCell ref="A1:F1"/>
    <mergeCell ref="H1:I1"/>
    <mergeCell ref="A2:B2"/>
    <mergeCell ref="C2:D2"/>
    <mergeCell ref="E2:F2"/>
    <mergeCell ref="BF100:BI100"/>
    <mergeCell ref="H4:I4"/>
    <mergeCell ref="H5:I5"/>
    <mergeCell ref="H6:I6"/>
    <mergeCell ref="A10:B10"/>
    <mergeCell ref="E10:F10"/>
    <mergeCell ref="E19:F19"/>
    <mergeCell ref="E20:F20"/>
    <mergeCell ref="E27:F27"/>
    <mergeCell ref="E32:F32"/>
    <mergeCell ref="E34:F34"/>
    <mergeCell ref="CA143:CA144"/>
    <mergeCell ref="AY101:AZ101"/>
    <mergeCell ref="AY104:AZ104"/>
    <mergeCell ref="BF106:BI106"/>
    <mergeCell ref="AZ113:BA113"/>
    <mergeCell ref="AZ117:BA117"/>
    <mergeCell ref="BV138:CB138"/>
    <mergeCell ref="BF112:BG112"/>
    <mergeCell ref="BW163:CB163"/>
    <mergeCell ref="CB143:CB144"/>
    <mergeCell ref="BV151:CA151"/>
    <mergeCell ref="BV152:CA152"/>
    <mergeCell ref="BV153:CA153"/>
    <mergeCell ref="BV154:CA154"/>
    <mergeCell ref="BV156:BZ156"/>
    <mergeCell ref="BV141:BV144"/>
    <mergeCell ref="BW141:BY141"/>
    <mergeCell ref="BZ141:CB141"/>
    <mergeCell ref="BW142:BY142"/>
    <mergeCell ref="BZ142:CB142"/>
    <mergeCell ref="BW143:BW144"/>
    <mergeCell ref="BX143:BX144"/>
    <mergeCell ref="BY143:BY144"/>
    <mergeCell ref="BZ143:BZ144"/>
    <mergeCell ref="BV158:BV159"/>
    <mergeCell ref="BW158:CB159"/>
    <mergeCell ref="BW160:CB160"/>
    <mergeCell ref="BW161:CB161"/>
    <mergeCell ref="BW162:CB162"/>
    <mergeCell ref="BT171:BT172"/>
    <mergeCell ref="BU171:BU172"/>
    <mergeCell ref="BW171:BW172"/>
    <mergeCell ref="BX171:BX172"/>
    <mergeCell ref="BV165:BX167"/>
    <mergeCell ref="BS168:BU168"/>
    <mergeCell ref="BV168:BX168"/>
    <mergeCell ref="BS169:BU169"/>
    <mergeCell ref="BV169:BX169"/>
    <mergeCell ref="BS170:BU170"/>
    <mergeCell ref="BV170:BX170"/>
  </mergeCells>
  <conditionalFormatting sqref="L37">
    <cfRule type="expression" dxfId="6" priority="4">
      <formula>L37&lt;0</formula>
    </cfRule>
  </conditionalFormatting>
  <dataValidations count="9">
    <dataValidation type="list" operator="equal" allowBlank="1" showErrorMessage="1" sqref="B5">
      <formula1>INDIRECT(AX113)</formula1>
    </dataValidation>
    <dataValidation type="list" operator="equal" allowBlank="1" showErrorMessage="1" sqref="D5">
      <formula1>"&lt;1000,1001-1500,&gt;1500"</formula1>
      <formula2>0</formula2>
    </dataValidation>
    <dataValidation type="list" operator="equal" allowBlank="1" showErrorMessage="1" sqref="D8:D9 B6:B7 F7 B9">
      <formula1>"Yes,No"</formula1>
      <formula2>0</formula2>
    </dataValidation>
    <dataValidation type="list" operator="equal" allowBlank="1" showErrorMessage="1" sqref="D4">
      <formula1>"0,20,25,35,45,50"</formula1>
      <formula2>0</formula2>
    </dataValidation>
    <dataValidation operator="equal" allowBlank="1" showErrorMessage="1" sqref="F8 H9">
      <formula1>0</formula1>
      <formula2>0</formula2>
    </dataValidation>
    <dataValidation type="list" operator="equal" allowBlank="1" showErrorMessage="1" sqref="B4">
      <formula1>"Zone A,Zone B"</formula1>
      <formula2>0</formula2>
    </dataValidation>
    <dataValidation type="list" operator="equal" allowBlank="1" showErrorMessage="1" sqref="F9">
      <formula1>"Package, Enhancement, LT Pack, Bundled Pack &amp; Liability, LT Enh, Bundled Enh &amp; Liability"</formula1>
    </dataValidation>
    <dataValidation type="list" operator="equal" allowBlank="1" showErrorMessage="1" sqref="F4">
      <formula1>"FPD, One Year, Not Required"</formula1>
    </dataValidation>
    <dataValidation type="list" allowBlank="1" showInputMessage="1" showErrorMessage="1" sqref="C2:D2">
      <formula1>"Private Car,Quadricycle"</formula1>
    </dataValidation>
  </dataValidations>
  <hyperlinks>
    <hyperlink ref="H1" location="Motor Home Page!a1" display="Motor Home Page"/>
  </hyperlinks>
  <pageMargins left="0.78740157480314965" right="0.78740157480314965" top="1.0236220472440944" bottom="1.0236220472440944" header="0.78740157480314965" footer="0.78740157480314965"/>
  <pageSetup scale="53" firstPageNumber="0" orientation="landscape" horizontalDpi="300" verticalDpi="300" r:id="rId1"/>
  <headerFooter alignWithMargins="0">
    <oddHeader>&amp;CDesigned By Prashanth Komarraju</oddHeader>
    <oddFooter>&amp;CPage &amp;P</oddFooter>
  </headerFooter>
  <colBreaks count="1" manualBreakCount="1">
    <brk id="6"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39"/>
  <sheetViews>
    <sheetView topLeftCell="A4" zoomScaleNormal="100" zoomScaleSheetLayoutView="55" workbookViewId="0">
      <selection activeCell="E23" sqref="E23"/>
    </sheetView>
  </sheetViews>
  <sheetFormatPr defaultColWidth="9.42578125" defaultRowHeight="15"/>
  <cols>
    <col min="1" max="1" width="25.42578125" style="5" customWidth="1"/>
    <col min="2" max="2" width="23.28515625" style="5" customWidth="1"/>
    <col min="3" max="3" width="24.28515625" style="5" customWidth="1"/>
    <col min="4" max="4" width="14" style="5" customWidth="1"/>
    <col min="5" max="5" width="33.42578125" style="5" customWidth="1"/>
    <col min="6" max="6" width="18.5703125" style="5" customWidth="1"/>
    <col min="7" max="7" width="3.85546875" style="5" customWidth="1"/>
    <col min="8" max="8" width="9.42578125" style="5"/>
    <col min="9" max="9" width="21" style="5" customWidth="1"/>
    <col min="10" max="10" width="24.42578125" style="5" customWidth="1"/>
    <col min="11" max="14" width="9.42578125" style="5"/>
    <col min="15" max="15" width="11.42578125" style="5" customWidth="1"/>
    <col min="16" max="16" width="11.28515625" style="5" customWidth="1"/>
    <col min="17" max="30" width="9.42578125" style="5"/>
    <col min="31" max="31" width="6.85546875" style="5" customWidth="1"/>
    <col min="32" max="32" width="4.85546875" style="5" customWidth="1"/>
    <col min="33" max="16384" width="9.42578125" style="5"/>
  </cols>
  <sheetData>
    <row r="1" spans="1:9" s="7" customFormat="1" ht="30.95" customHeight="1" thickBot="1">
      <c r="A1" s="1045" t="s">
        <v>145</v>
      </c>
      <c r="B1" s="1045"/>
      <c r="C1" s="1045"/>
      <c r="D1" s="1045"/>
      <c r="E1" s="1045"/>
      <c r="F1" s="1045"/>
      <c r="G1" s="378"/>
      <c r="H1" s="1046" t="s">
        <v>5</v>
      </c>
      <c r="I1" s="1046"/>
    </row>
    <row r="2" spans="1:9" ht="35.85" customHeight="1">
      <c r="A2" s="379" t="s">
        <v>6</v>
      </c>
      <c r="B2" s="380">
        <v>470000</v>
      </c>
      <c r="C2" s="381" t="s">
        <v>18</v>
      </c>
      <c r="D2" s="380" t="s">
        <v>91</v>
      </c>
      <c r="E2" s="382" t="s">
        <v>147</v>
      </c>
      <c r="F2" s="380">
        <v>0</v>
      </c>
      <c r="G2" s="383"/>
      <c r="H2" s="1047" t="s">
        <v>452</v>
      </c>
      <c r="I2" s="1047"/>
    </row>
    <row r="3" spans="1:9" ht="26.1" customHeight="1">
      <c r="A3" s="384" t="s">
        <v>148</v>
      </c>
      <c r="B3" s="362" t="s">
        <v>46</v>
      </c>
      <c r="C3" s="385" t="s">
        <v>149</v>
      </c>
      <c r="D3" s="380">
        <v>75</v>
      </c>
      <c r="E3" s="386" t="s">
        <v>150</v>
      </c>
      <c r="F3" s="380" t="s">
        <v>14</v>
      </c>
      <c r="G3" s="383"/>
      <c r="H3" s="1048" t="s">
        <v>15</v>
      </c>
      <c r="I3" s="1048"/>
    </row>
    <row r="4" spans="1:9" ht="29.85" customHeight="1">
      <c r="A4" s="814" t="s">
        <v>512</v>
      </c>
      <c r="B4" s="813" t="s">
        <v>569</v>
      </c>
      <c r="C4" s="386" t="s">
        <v>335</v>
      </c>
      <c r="D4" s="380">
        <v>5</v>
      </c>
      <c r="E4" s="389" t="s">
        <v>153</v>
      </c>
      <c r="F4" s="390">
        <v>1</v>
      </c>
      <c r="G4" s="383"/>
      <c r="H4" s="1048" t="s">
        <v>632</v>
      </c>
      <c r="I4" s="1048"/>
    </row>
    <row r="5" spans="1:9" ht="36" customHeight="1" thickBot="1">
      <c r="A5" s="387" t="s">
        <v>151</v>
      </c>
      <c r="B5" s="388" t="s">
        <v>336</v>
      </c>
      <c r="C5" s="392" t="s">
        <v>413</v>
      </c>
      <c r="D5" s="364" t="s">
        <v>50</v>
      </c>
      <c r="E5" s="393" t="s">
        <v>412</v>
      </c>
      <c r="F5" s="380">
        <v>0</v>
      </c>
      <c r="G5" s="383"/>
      <c r="H5" s="1049" t="s">
        <v>483</v>
      </c>
      <c r="I5" s="1049"/>
    </row>
    <row r="6" spans="1:9" ht="36" customHeight="1">
      <c r="A6" s="384" t="s">
        <v>154</v>
      </c>
      <c r="B6" s="391">
        <v>20</v>
      </c>
      <c r="C6" s="394" t="s">
        <v>411</v>
      </c>
      <c r="D6" s="395" t="s">
        <v>294</v>
      </c>
      <c r="E6" s="603" t="s">
        <v>494</v>
      </c>
      <c r="F6" s="680" t="s">
        <v>50</v>
      </c>
      <c r="G6" s="396"/>
      <c r="H6" s="1050"/>
      <c r="I6" s="1050"/>
    </row>
    <row r="7" spans="1:9" ht="9.1999999999999993" hidden="1" customHeight="1">
      <c r="G7" s="396"/>
    </row>
    <row r="8" spans="1:9" ht="17.100000000000001" customHeight="1">
      <c r="A8" s="1051" t="s">
        <v>155</v>
      </c>
      <c r="B8" s="1051"/>
      <c r="C8" s="1052" t="s">
        <v>156</v>
      </c>
      <c r="D8" s="1052"/>
      <c r="G8" s="396"/>
      <c r="H8" s="7"/>
    </row>
    <row r="9" spans="1:9">
      <c r="A9" s="398" t="s">
        <v>23</v>
      </c>
      <c r="B9" s="399">
        <f>IF($B$3="zone a",$P$63,IF($B$3="zone b",$P$64,0))</f>
        <v>3.2839999999999998</v>
      </c>
      <c r="C9" s="400"/>
      <c r="D9" s="400"/>
      <c r="G9" s="396"/>
      <c r="H9" s="7"/>
    </row>
    <row r="10" spans="1:9" ht="17.850000000000001" customHeight="1">
      <c r="A10" s="398" t="s">
        <v>518</v>
      </c>
      <c r="B10" s="398">
        <f>B9*(1-D3%)</f>
        <v>0.82099999999999995</v>
      </c>
      <c r="C10" s="403" t="s">
        <v>158</v>
      </c>
      <c r="D10" s="404">
        <f>IF(D2="&lt;1000",5769,IF(D2="1000-1500",7584,IF(D2="&gt;1500",10051,0)))</f>
        <v>5769</v>
      </c>
      <c r="E10" s="397"/>
      <c r="F10" s="397"/>
      <c r="G10" s="396"/>
    </row>
    <row r="11" spans="1:9" ht="28.35" customHeight="1">
      <c r="A11" s="401" t="s">
        <v>157</v>
      </c>
      <c r="B11" s="402">
        <f>ROUNDUP($B$2*$B$10%,0)</f>
        <v>3859</v>
      </c>
      <c r="C11" s="406" t="s">
        <v>160</v>
      </c>
      <c r="D11" s="404">
        <f>IF($F$3="yes",275,0)</f>
        <v>275</v>
      </c>
      <c r="E11" s="407"/>
      <c r="F11" s="397"/>
      <c r="G11" s="396"/>
    </row>
    <row r="12" spans="1:9" ht="26.85" customHeight="1">
      <c r="A12" s="405" t="s">
        <v>159</v>
      </c>
      <c r="B12" s="399">
        <f>$F$2*0.04*(1-D3%)</f>
        <v>0</v>
      </c>
      <c r="C12" s="406" t="s">
        <v>415</v>
      </c>
      <c r="D12" s="409">
        <f>IF(AND(D5="No",F5=0),0,60)</f>
        <v>0</v>
      </c>
      <c r="E12" s="1053" t="s">
        <v>163</v>
      </c>
      <c r="F12" s="1054">
        <f>SUM($D$16:$D$17)</f>
        <v>21709.200000000001</v>
      </c>
      <c r="G12" s="396"/>
    </row>
    <row r="13" spans="1:9" ht="29.1" customHeight="1">
      <c r="A13" s="405" t="s">
        <v>161</v>
      </c>
      <c r="B13" s="408">
        <f>IF(D5="Yes",ROUNDUP(B11*0.05,0),ROUNDUP($F$5*0.04*(1-D3%),0))</f>
        <v>0</v>
      </c>
      <c r="C13" s="406" t="s">
        <v>485</v>
      </c>
      <c r="D13" s="404">
        <f>$F$4*50</f>
        <v>50</v>
      </c>
      <c r="E13" s="1053"/>
      <c r="F13" s="1054"/>
      <c r="G13" s="396"/>
    </row>
    <row r="14" spans="1:9" ht="17.850000000000001" customHeight="1">
      <c r="A14" s="410" t="s">
        <v>32</v>
      </c>
      <c r="B14" s="402">
        <f>$B$11+$B$12+B13</f>
        <v>3859</v>
      </c>
      <c r="C14" s="411" t="s">
        <v>164</v>
      </c>
      <c r="D14" s="404">
        <f>IF(D2="&lt;1000",D4*1110,IF(D2="1000-1500",$D$4*934,IF(D2="&gt;1500",D4*1067)))</f>
        <v>5550</v>
      </c>
      <c r="E14" s="156"/>
      <c r="F14" s="397"/>
      <c r="G14" s="396"/>
    </row>
    <row r="15" spans="1:9" ht="15.75">
      <c r="A15" s="410" t="s">
        <v>519</v>
      </c>
      <c r="B15" s="604">
        <f>IF(F6="Yes",IF(2.5%*B14&gt;500,500,2.5%*B14),0)</f>
        <v>0</v>
      </c>
      <c r="C15" s="413" t="s">
        <v>166</v>
      </c>
      <c r="D15" s="414">
        <f>SUM($D$10:$D$14)</f>
        <v>11644</v>
      </c>
      <c r="E15" s="156"/>
      <c r="F15" s="155"/>
      <c r="G15" s="396"/>
    </row>
    <row r="16" spans="1:9">
      <c r="A16" s="412" t="s">
        <v>12</v>
      </c>
      <c r="B16" s="402">
        <f>$B$6%*(B14-B15)</f>
        <v>771.80000000000007</v>
      </c>
      <c r="C16" s="406" t="s">
        <v>33</v>
      </c>
      <c r="D16" s="404">
        <f>$D$15+$B$20</f>
        <v>18397.2</v>
      </c>
      <c r="E16" s="155"/>
      <c r="F16" s="155"/>
      <c r="G16" s="396"/>
    </row>
    <row r="17" spans="1:7">
      <c r="A17" s="412" t="s">
        <v>198</v>
      </c>
      <c r="B17" s="415">
        <f>B14-B16-B15</f>
        <v>3087.2</v>
      </c>
      <c r="C17" s="417" t="s">
        <v>169</v>
      </c>
      <c r="D17" s="418">
        <f>ROUNDUP($D$16*'Motor Home Page'!N1%,0)</f>
        <v>3312</v>
      </c>
      <c r="E17" s="155"/>
      <c r="F17" s="155"/>
      <c r="G17" s="396"/>
    </row>
    <row r="18" spans="1:7" ht="16.7" customHeight="1">
      <c r="A18" s="412" t="s">
        <v>199</v>
      </c>
      <c r="B18" s="416">
        <f>IF(D4&lt;&gt;6,IF(OR(D2="&lt;1000",D2="1000-1500"),AX224,AX225),IF(OR(D2="&lt;1000",D2="1000-1500"),Q90,Q91))</f>
        <v>0.78</v>
      </c>
      <c r="C18" s="157"/>
      <c r="D18" s="157"/>
      <c r="E18" s="155"/>
      <c r="F18" s="155"/>
      <c r="G18" s="396"/>
    </row>
    <row r="19" spans="1:7" ht="20.85" customHeight="1">
      <c r="A19" s="419" t="s">
        <v>86</v>
      </c>
      <c r="B19" s="420">
        <f>IF(B4="Enhancement Policy",B18%*B2,0)</f>
        <v>3666.0000000000005</v>
      </c>
      <c r="C19" s="423"/>
      <c r="D19" s="423"/>
      <c r="E19" s="155"/>
      <c r="F19" s="397"/>
      <c r="G19" s="396"/>
    </row>
    <row r="20" spans="1:7" ht="18" customHeight="1">
      <c r="A20" s="421" t="s">
        <v>35</v>
      </c>
      <c r="B20" s="422">
        <f>B17+B19</f>
        <v>6753.2000000000007</v>
      </c>
      <c r="C20" s="158"/>
      <c r="D20" s="158"/>
      <c r="E20" s="1044"/>
      <c r="F20" s="1044"/>
      <c r="G20" s="396"/>
    </row>
    <row r="21" spans="1:7" ht="15.6" customHeight="1">
      <c r="C21" s="424"/>
      <c r="D21" s="424"/>
      <c r="E21" s="1042"/>
      <c r="F21" s="1042"/>
    </row>
    <row r="22" spans="1:7" ht="15.75">
      <c r="A22" s="1055"/>
      <c r="B22" s="1055"/>
      <c r="C22" s="159"/>
      <c r="D22" s="159"/>
      <c r="E22" s="636"/>
      <c r="F22" s="367"/>
      <c r="G22" s="396"/>
    </row>
    <row r="23" spans="1:7" ht="16.5">
      <c r="A23" s="641"/>
      <c r="B23" s="642"/>
      <c r="C23" s="160"/>
      <c r="D23" s="160"/>
      <c r="E23" s="636"/>
      <c r="F23" s="637"/>
      <c r="G23" s="396"/>
    </row>
    <row r="24" spans="1:7" ht="16.5">
      <c r="A24" s="643"/>
      <c r="B24" s="642"/>
      <c r="C24" s="132"/>
      <c r="D24" s="132"/>
      <c r="E24" s="638"/>
      <c r="F24" s="639"/>
      <c r="G24" s="396"/>
    </row>
    <row r="25" spans="1:7" ht="18.600000000000001" customHeight="1">
      <c r="A25" s="425"/>
      <c r="B25" s="425"/>
      <c r="C25" s="425"/>
      <c r="D25" s="86"/>
      <c r="E25" s="1056"/>
      <c r="F25" s="1056"/>
      <c r="G25" s="396"/>
    </row>
    <row r="26" spans="1:7" ht="35.25" customHeight="1">
      <c r="A26" s="358"/>
      <c r="B26" s="640"/>
      <c r="C26" s="640"/>
      <c r="D26" s="86"/>
      <c r="E26" s="640"/>
      <c r="F26" s="367"/>
    </row>
    <row r="27" spans="1:7" ht="20.85" customHeight="1">
      <c r="A27" s="358"/>
      <c r="B27" s="774"/>
      <c r="C27" s="774"/>
      <c r="D27" s="426"/>
      <c r="E27" s="358"/>
      <c r="F27" s="358"/>
    </row>
    <row r="28" spans="1:7" ht="20.85" customHeight="1">
      <c r="A28" s="358"/>
      <c r="B28" s="358"/>
      <c r="C28" s="358"/>
      <c r="D28" s="132"/>
      <c r="E28" s="358"/>
      <c r="F28" s="358"/>
    </row>
    <row r="29" spans="1:7" ht="31.35" customHeight="1">
      <c r="A29" s="427"/>
      <c r="B29" s="358"/>
      <c r="C29" s="369"/>
      <c r="D29" s="428"/>
      <c r="E29" s="358"/>
      <c r="F29" s="358"/>
      <c r="G29" s="136"/>
    </row>
    <row r="30" spans="1:7" ht="37.35" customHeight="1">
      <c r="A30" s="131"/>
      <c r="B30" s="132"/>
      <c r="C30" s="132"/>
      <c r="D30" s="132"/>
      <c r="E30" s="358"/>
      <c r="F30" s="358"/>
      <c r="G30" s="136"/>
    </row>
    <row r="31" spans="1:7" ht="16.7" customHeight="1">
      <c r="A31" s="86"/>
      <c r="B31" s="86"/>
      <c r="C31" s="86"/>
      <c r="D31" s="86"/>
      <c r="E31" s="100"/>
      <c r="F31" s="367"/>
      <c r="G31" s="136"/>
    </row>
    <row r="32" spans="1:7" ht="23.25">
      <c r="A32" s="129"/>
      <c r="B32" s="425"/>
      <c r="C32" s="425"/>
      <c r="D32" s="425"/>
      <c r="E32" s="358"/>
      <c r="F32" s="368"/>
      <c r="G32" s="136"/>
    </row>
    <row r="33" spans="1:79" ht="31.35" customHeight="1">
      <c r="A33" s="425"/>
      <c r="B33" s="426"/>
      <c r="C33" s="426"/>
      <c r="D33" s="426"/>
      <c r="E33" s="358"/>
      <c r="F33" s="358"/>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496"/>
      <c r="BN33" s="496"/>
      <c r="BO33" s="496"/>
      <c r="BP33" s="496"/>
      <c r="BQ33" s="496"/>
      <c r="BR33" s="496"/>
      <c r="BS33" s="496"/>
      <c r="BT33" s="496"/>
      <c r="BU33" s="496"/>
      <c r="BV33" s="496"/>
      <c r="BW33" s="496"/>
      <c r="BX33" s="496"/>
      <c r="BY33" s="496"/>
      <c r="BZ33" s="496"/>
      <c r="CA33" s="496"/>
    </row>
    <row r="34" spans="1:79" ht="27.75" customHeight="1">
      <c r="A34" s="131"/>
      <c r="B34" s="428"/>
      <c r="C34" s="428"/>
      <c r="D34" s="428"/>
      <c r="E34" s="358"/>
      <c r="F34" s="358"/>
      <c r="G34" s="496"/>
      <c r="H34" s="496"/>
      <c r="I34" s="496"/>
      <c r="J34" s="496"/>
      <c r="K34" s="496">
        <f>IF(B4="Yes",70,60)</f>
        <v>60</v>
      </c>
      <c r="L34" s="496" t="s">
        <v>484</v>
      </c>
      <c r="M34" s="496" t="str">
        <f>CONCATENATE(K34,L34)</f>
        <v>60% of (Basic + Addon)</v>
      </c>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row>
    <row r="35" spans="1:79" ht="15.75">
      <c r="A35" s="427"/>
      <c r="B35" s="429"/>
      <c r="C35" s="429"/>
      <c r="D35" s="429"/>
      <c r="E35" s="358"/>
      <c r="F35" s="358"/>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6"/>
      <c r="BP35" s="496"/>
      <c r="BQ35" s="496"/>
      <c r="BR35" s="496"/>
      <c r="BS35" s="496"/>
      <c r="BT35" s="496"/>
      <c r="BU35" s="496"/>
      <c r="BV35" s="496"/>
      <c r="BW35" s="496"/>
      <c r="BX35" s="496"/>
      <c r="BY35" s="496"/>
      <c r="BZ35" s="496"/>
      <c r="CA35" s="496"/>
    </row>
    <row r="36" spans="1:79" ht="15.75">
      <c r="A36" s="131"/>
      <c r="B36" s="429"/>
      <c r="C36" s="428"/>
      <c r="D36" s="428"/>
      <c r="E36" s="428"/>
      <c r="F36" s="86"/>
      <c r="G36" s="497"/>
      <c r="H36" s="496"/>
      <c r="I36" s="496"/>
      <c r="J36" s="498"/>
      <c r="K36" s="494" t="s">
        <v>473</v>
      </c>
      <c r="L36" s="495">
        <f>ROUND(B20-F26,0)</f>
        <v>6753</v>
      </c>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496"/>
      <c r="AU36" s="496"/>
      <c r="AV36" s="496"/>
      <c r="AW36" s="496"/>
      <c r="AX36" s="496"/>
      <c r="AY36" s="496"/>
      <c r="AZ36" s="496"/>
      <c r="BA36" s="496"/>
      <c r="BB36" s="496"/>
      <c r="BC36" s="496"/>
      <c r="BD36" s="496"/>
      <c r="BE36" s="496"/>
      <c r="BF36" s="496"/>
      <c r="BG36" s="496"/>
      <c r="BH36" s="496"/>
      <c r="BI36" s="496"/>
      <c r="BJ36" s="496"/>
      <c r="BK36" s="496"/>
      <c r="BL36" s="496"/>
      <c r="BM36" s="496"/>
      <c r="BN36" s="496"/>
      <c r="BO36" s="496"/>
      <c r="BP36" s="496"/>
      <c r="BQ36" s="496"/>
      <c r="BR36" s="496"/>
      <c r="BS36" s="496"/>
      <c r="BT36" s="496"/>
      <c r="BU36" s="496"/>
      <c r="BV36" s="496"/>
      <c r="BW36" s="496"/>
      <c r="BX36" s="496"/>
      <c r="BY36" s="496"/>
      <c r="BZ36" s="496"/>
      <c r="CA36" s="496"/>
    </row>
    <row r="37" spans="1:79" ht="15.75" customHeight="1">
      <c r="A37" s="427"/>
      <c r="B37" s="132"/>
      <c r="C37" s="132"/>
      <c r="D37" s="132"/>
      <c r="E37" s="86"/>
      <c r="F37" s="86"/>
      <c r="G37" s="497"/>
      <c r="H37" s="496"/>
      <c r="I37" s="496"/>
      <c r="J37" s="496"/>
      <c r="K37" s="494" t="str">
        <f>CONCATENATE(K36,L36)</f>
        <v>You still have a cushion / buffer of Rs. 6753</v>
      </c>
      <c r="L37" s="494"/>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c r="BD37" s="496"/>
      <c r="BE37" s="496"/>
      <c r="BF37" s="496"/>
      <c r="BG37" s="496"/>
      <c r="BH37" s="496"/>
      <c r="BI37" s="496"/>
      <c r="BJ37" s="496"/>
      <c r="BK37" s="496"/>
      <c r="BL37" s="496"/>
      <c r="BM37" s="496"/>
      <c r="BN37" s="496"/>
      <c r="BO37" s="496"/>
      <c r="BP37" s="496"/>
      <c r="BQ37" s="496"/>
      <c r="BR37" s="496"/>
      <c r="BS37" s="496"/>
      <c r="BT37" s="496"/>
      <c r="BU37" s="496"/>
      <c r="BV37" s="496"/>
      <c r="BW37" s="496"/>
      <c r="BX37" s="496"/>
      <c r="BY37" s="496"/>
      <c r="BZ37" s="496"/>
      <c r="CA37" s="496"/>
    </row>
    <row r="38" spans="1:79" ht="15.75">
      <c r="A38" s="131"/>
      <c r="B38" s="428"/>
      <c r="C38" s="428"/>
      <c r="D38" s="428"/>
      <c r="E38" s="86"/>
      <c r="F38" s="86"/>
      <c r="G38" s="497"/>
      <c r="H38" s="496"/>
      <c r="I38" s="496"/>
      <c r="J38" s="496"/>
      <c r="K38" s="494" t="s">
        <v>474</v>
      </c>
      <c r="L38" s="494"/>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6"/>
      <c r="BE38" s="496"/>
      <c r="BF38" s="496"/>
      <c r="BG38" s="496"/>
      <c r="BH38" s="496"/>
      <c r="BI38" s="496"/>
      <c r="BJ38" s="496"/>
      <c r="BK38" s="496"/>
      <c r="BL38" s="496"/>
      <c r="BM38" s="496"/>
      <c r="BN38" s="496"/>
      <c r="BO38" s="496"/>
      <c r="BP38" s="496"/>
      <c r="BQ38" s="496"/>
      <c r="BR38" s="496"/>
      <c r="BS38" s="496"/>
      <c r="BT38" s="496"/>
      <c r="BU38" s="496"/>
      <c r="BV38" s="496"/>
      <c r="BW38" s="496"/>
      <c r="BX38" s="496"/>
      <c r="BY38" s="496"/>
      <c r="BZ38" s="496"/>
      <c r="CA38" s="496"/>
    </row>
    <row r="39" spans="1:79">
      <c r="A39" s="425"/>
      <c r="B39" s="132"/>
      <c r="C39" s="132"/>
      <c r="D39" s="132"/>
      <c r="E39" s="86"/>
      <c r="F39" s="86"/>
      <c r="G39" s="497"/>
      <c r="H39" s="496"/>
      <c r="I39" s="496"/>
      <c r="J39" s="496"/>
      <c r="K39" s="494" t="s">
        <v>475</v>
      </c>
      <c r="L39" s="494">
        <f>-(L36)</f>
        <v>-6753</v>
      </c>
      <c r="M39" s="494" t="s">
        <v>476</v>
      </c>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496"/>
      <c r="BL39" s="496"/>
      <c r="BM39" s="496"/>
      <c r="BN39" s="496"/>
      <c r="BO39" s="496"/>
      <c r="BP39" s="496"/>
      <c r="BQ39" s="496"/>
      <c r="BR39" s="496"/>
      <c r="BS39" s="496"/>
      <c r="BT39" s="496"/>
      <c r="BU39" s="496"/>
      <c r="BV39" s="496"/>
      <c r="BW39" s="496"/>
      <c r="BX39" s="496"/>
      <c r="BY39" s="496"/>
      <c r="BZ39" s="496"/>
      <c r="CA39" s="496"/>
    </row>
    <row r="40" spans="1:79" ht="36.75" customHeight="1">
      <c r="A40" s="138"/>
      <c r="B40" s="86"/>
      <c r="C40" s="123"/>
      <c r="D40" s="123"/>
      <c r="E40" s="86"/>
      <c r="F40" s="86"/>
      <c r="G40" s="496"/>
      <c r="H40" s="496"/>
      <c r="I40" s="496"/>
      <c r="J40" s="496"/>
      <c r="K40" s="494" t="str">
        <f>CONCATENATE(K39,L39,M39)</f>
        <v>You have crossed the maximum Discount by Rs. -6753. Kindly Reduce the disc %</v>
      </c>
      <c r="L40" s="494"/>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c r="AZ40" s="496"/>
      <c r="BA40" s="496"/>
      <c r="BB40" s="496"/>
      <c r="BC40" s="496"/>
      <c r="BD40" s="496"/>
      <c r="BE40" s="496"/>
      <c r="BF40" s="496"/>
      <c r="BG40" s="496"/>
      <c r="BH40" s="496"/>
      <c r="BI40" s="496"/>
      <c r="BJ40" s="496"/>
      <c r="BK40" s="496"/>
      <c r="BL40" s="496"/>
      <c r="BM40" s="496"/>
      <c r="BN40" s="496"/>
      <c r="BO40" s="496"/>
      <c r="BP40" s="496"/>
      <c r="BQ40" s="496"/>
      <c r="BR40" s="496"/>
      <c r="BS40" s="496"/>
      <c r="BT40" s="496"/>
      <c r="BU40" s="496"/>
      <c r="BV40" s="496"/>
      <c r="BW40" s="496"/>
      <c r="BX40" s="496"/>
      <c r="BY40" s="496"/>
      <c r="BZ40" s="496"/>
      <c r="CA40" s="496"/>
    </row>
    <row r="41" spans="1:79" ht="22.5" customHeight="1">
      <c r="A41" s="425"/>
      <c r="B41" s="139"/>
      <c r="C41" s="139"/>
      <c r="D41" s="139"/>
      <c r="E41" s="86"/>
      <c r="F41" s="8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496"/>
      <c r="AU41" s="496"/>
      <c r="AV41" s="496"/>
      <c r="AW41" s="496"/>
      <c r="AX41" s="496"/>
      <c r="AY41" s="496"/>
      <c r="AZ41" s="496"/>
      <c r="BA41" s="496"/>
      <c r="BB41" s="496"/>
      <c r="BC41" s="496"/>
      <c r="BD41" s="496"/>
      <c r="BE41" s="496"/>
      <c r="BF41" s="496"/>
      <c r="BG41" s="496"/>
      <c r="BH41" s="496"/>
      <c r="BI41" s="496"/>
      <c r="BJ41" s="496"/>
      <c r="BK41" s="496"/>
      <c r="BL41" s="496"/>
      <c r="BM41" s="496"/>
      <c r="BN41" s="496"/>
      <c r="BO41" s="496"/>
      <c r="BP41" s="496"/>
      <c r="BQ41" s="496"/>
      <c r="BR41" s="496"/>
      <c r="BS41" s="496"/>
      <c r="BT41" s="496"/>
      <c r="BU41" s="496"/>
      <c r="BV41" s="496"/>
      <c r="BW41" s="496"/>
      <c r="BX41" s="496"/>
      <c r="BY41" s="496"/>
      <c r="BZ41" s="496"/>
      <c r="CA41" s="496"/>
    </row>
    <row r="42" spans="1:79" ht="18" customHeight="1">
      <c r="A42" s="131"/>
      <c r="B42" s="132"/>
      <c r="C42" s="132"/>
      <c r="D42" s="132"/>
      <c r="E42" s="86"/>
      <c r="F42" s="8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6"/>
      <c r="AY42" s="496"/>
      <c r="AZ42" s="496"/>
      <c r="BA42" s="496"/>
      <c r="BB42" s="496"/>
      <c r="BC42" s="496"/>
      <c r="BD42" s="496"/>
      <c r="BE42" s="496"/>
      <c r="BF42" s="496"/>
      <c r="BG42" s="496"/>
      <c r="BH42" s="496"/>
      <c r="BI42" s="496"/>
      <c r="BJ42" s="496"/>
      <c r="BK42" s="496"/>
      <c r="BL42" s="496"/>
      <c r="BM42" s="496"/>
      <c r="BN42" s="496"/>
      <c r="BO42" s="496"/>
      <c r="BP42" s="496"/>
      <c r="BQ42" s="496"/>
      <c r="BR42" s="496"/>
      <c r="BS42" s="496"/>
      <c r="BT42" s="496"/>
      <c r="BU42" s="496"/>
      <c r="BV42" s="496"/>
      <c r="BW42" s="496"/>
      <c r="BX42" s="496"/>
      <c r="BY42" s="496"/>
      <c r="BZ42" s="496"/>
      <c r="CA42" s="496"/>
    </row>
    <row r="43" spans="1:79" ht="2.25" customHeight="1">
      <c r="A43" s="427"/>
      <c r="B43" s="132"/>
      <c r="C43" s="132"/>
      <c r="D43" s="132"/>
      <c r="E43" s="86"/>
      <c r="F43" s="8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6"/>
      <c r="AZ43" s="496"/>
      <c r="BA43" s="496"/>
      <c r="BB43" s="496"/>
      <c r="BC43" s="496"/>
      <c r="BD43" s="496"/>
      <c r="BE43" s="496"/>
      <c r="BF43" s="496"/>
      <c r="BG43" s="496"/>
      <c r="BH43" s="496"/>
      <c r="BI43" s="496"/>
      <c r="BJ43" s="496"/>
      <c r="BK43" s="496"/>
      <c r="BL43" s="496"/>
      <c r="BM43" s="496"/>
      <c r="BN43" s="496"/>
      <c r="BO43" s="496"/>
      <c r="BP43" s="496"/>
      <c r="BQ43" s="496"/>
      <c r="BR43" s="496"/>
      <c r="BS43" s="496"/>
      <c r="BT43" s="496"/>
      <c r="BU43" s="496"/>
      <c r="BV43" s="496"/>
      <c r="BW43" s="496"/>
      <c r="BX43" s="496"/>
      <c r="BY43" s="496"/>
      <c r="BZ43" s="496"/>
      <c r="CA43" s="496"/>
    </row>
    <row r="44" spans="1:79" ht="15.75" hidden="1">
      <c r="A44" s="131"/>
      <c r="B44" s="132"/>
      <c r="C44" s="132"/>
      <c r="D44" s="132"/>
      <c r="E44" s="86"/>
      <c r="F44" s="8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496"/>
      <c r="AM44" s="496"/>
      <c r="AN44" s="496"/>
      <c r="AO44" s="496"/>
      <c r="AP44" s="496"/>
      <c r="AQ44" s="496"/>
      <c r="AR44" s="496"/>
      <c r="AS44" s="496"/>
      <c r="AT44" s="496"/>
      <c r="AU44" s="496"/>
      <c r="AV44" s="496"/>
      <c r="AW44" s="496"/>
      <c r="AX44" s="496"/>
      <c r="AY44" s="496"/>
      <c r="AZ44" s="496"/>
      <c r="BA44" s="496"/>
      <c r="BB44" s="496"/>
      <c r="BC44" s="496"/>
      <c r="BD44" s="496"/>
      <c r="BE44" s="496"/>
      <c r="BF44" s="496"/>
      <c r="BG44" s="496"/>
      <c r="BH44" s="496"/>
      <c r="BI44" s="496"/>
      <c r="BJ44" s="496"/>
      <c r="BK44" s="496"/>
      <c r="BL44" s="496"/>
      <c r="BM44" s="496"/>
      <c r="BN44" s="496"/>
      <c r="BO44" s="496"/>
      <c r="BP44" s="496"/>
      <c r="BQ44" s="496"/>
      <c r="BR44" s="496"/>
      <c r="BS44" s="496"/>
      <c r="BT44" s="496"/>
      <c r="BU44" s="496"/>
      <c r="BV44" s="496"/>
      <c r="BW44" s="496"/>
      <c r="BX44" s="496"/>
      <c r="BY44" s="496"/>
      <c r="BZ44" s="496"/>
      <c r="CA44" s="496"/>
    </row>
    <row r="45" spans="1:79" ht="36.75" customHeight="1">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6"/>
      <c r="AW45" s="496"/>
      <c r="AX45" s="496"/>
      <c r="AY45" s="496"/>
      <c r="AZ45" s="496"/>
      <c r="BA45" s="496"/>
      <c r="BB45" s="496"/>
      <c r="BC45" s="496"/>
      <c r="BD45" s="496"/>
      <c r="BE45" s="496"/>
      <c r="BF45" s="496"/>
      <c r="BG45" s="496"/>
      <c r="BH45" s="496"/>
      <c r="BI45" s="496"/>
      <c r="BJ45" s="496"/>
      <c r="BK45" s="496"/>
      <c r="BL45" s="496"/>
      <c r="BM45" s="496"/>
      <c r="BN45" s="496"/>
      <c r="BO45" s="496"/>
      <c r="BP45" s="496"/>
      <c r="BQ45" s="496"/>
      <c r="BR45" s="496"/>
      <c r="BS45" s="496"/>
      <c r="BT45" s="496"/>
      <c r="BU45" s="496"/>
      <c r="BV45" s="496"/>
      <c r="BW45" s="496"/>
      <c r="BX45" s="496"/>
      <c r="BY45" s="496"/>
      <c r="BZ45" s="496"/>
      <c r="CA45" s="496"/>
    </row>
    <row r="46" spans="1:79">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496"/>
      <c r="AY46" s="496"/>
      <c r="AZ46" s="496"/>
      <c r="BA46" s="496"/>
      <c r="BB46" s="496"/>
      <c r="BC46" s="496"/>
      <c r="BD46" s="496"/>
      <c r="BE46" s="496"/>
      <c r="BF46" s="496"/>
      <c r="BG46" s="496"/>
      <c r="BH46" s="496"/>
      <c r="BI46" s="496"/>
      <c r="BJ46" s="496"/>
      <c r="BK46" s="496"/>
      <c r="BL46" s="496"/>
      <c r="BM46" s="496"/>
      <c r="BN46" s="496"/>
      <c r="BO46" s="496"/>
      <c r="BP46" s="496"/>
      <c r="BQ46" s="496"/>
      <c r="BR46" s="496"/>
      <c r="BS46" s="496"/>
      <c r="BT46" s="496"/>
      <c r="BU46" s="496"/>
      <c r="BV46" s="496"/>
      <c r="BW46" s="496"/>
      <c r="BX46" s="496"/>
      <c r="BY46" s="496"/>
      <c r="BZ46" s="496"/>
      <c r="CA46" s="496"/>
    </row>
    <row r="47" spans="1:79">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6"/>
      <c r="AY47" s="496"/>
      <c r="AZ47" s="496"/>
      <c r="BA47" s="496"/>
      <c r="BB47" s="496"/>
      <c r="BC47" s="496"/>
      <c r="BD47" s="496"/>
      <c r="BE47" s="496"/>
      <c r="BF47" s="496"/>
      <c r="BG47" s="496"/>
      <c r="BH47" s="496"/>
      <c r="BI47" s="496"/>
      <c r="BJ47" s="496"/>
      <c r="BK47" s="496"/>
      <c r="BL47" s="496"/>
      <c r="BM47" s="496"/>
      <c r="BN47" s="496"/>
      <c r="BO47" s="496"/>
      <c r="BP47" s="496"/>
      <c r="BQ47" s="496"/>
      <c r="BR47" s="496"/>
      <c r="BS47" s="496"/>
      <c r="BT47" s="496"/>
      <c r="BU47" s="496"/>
      <c r="BV47" s="496"/>
      <c r="BW47" s="496"/>
      <c r="BX47" s="496"/>
      <c r="BY47" s="496"/>
      <c r="BZ47" s="496"/>
      <c r="CA47" s="496"/>
    </row>
    <row r="48" spans="1:79">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6"/>
      <c r="BD48" s="496"/>
      <c r="BE48" s="496"/>
      <c r="BF48" s="496"/>
      <c r="BG48" s="496"/>
      <c r="BH48" s="496"/>
      <c r="BI48" s="496"/>
      <c r="BJ48" s="496"/>
      <c r="BK48" s="496"/>
      <c r="BL48" s="496"/>
      <c r="BM48" s="496"/>
      <c r="BN48" s="496"/>
      <c r="BO48" s="496"/>
      <c r="BP48" s="496"/>
      <c r="BQ48" s="496"/>
      <c r="BR48" s="496"/>
      <c r="BS48" s="496"/>
      <c r="BT48" s="496"/>
      <c r="BU48" s="496"/>
      <c r="BV48" s="496"/>
      <c r="BW48" s="496"/>
      <c r="BX48" s="496"/>
      <c r="BY48" s="496"/>
      <c r="BZ48" s="496"/>
      <c r="CA48" s="496"/>
    </row>
    <row r="49" spans="7:79">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6"/>
      <c r="AN49" s="496"/>
      <c r="AO49" s="496"/>
      <c r="AP49" s="496"/>
      <c r="AQ49" s="496"/>
      <c r="AR49" s="496"/>
      <c r="AS49" s="496"/>
      <c r="AT49" s="496"/>
      <c r="AU49" s="496"/>
      <c r="AV49" s="496"/>
      <c r="AW49" s="496"/>
      <c r="AX49" s="496"/>
      <c r="AY49" s="496"/>
      <c r="AZ49" s="496"/>
      <c r="BA49" s="496"/>
      <c r="BB49" s="496"/>
      <c r="BC49" s="496"/>
      <c r="BD49" s="496"/>
      <c r="BE49" s="496"/>
      <c r="BF49" s="496"/>
      <c r="BG49" s="496"/>
      <c r="BH49" s="496"/>
      <c r="BI49" s="496"/>
      <c r="BJ49" s="496"/>
      <c r="BK49" s="496"/>
      <c r="BL49" s="496"/>
      <c r="BM49" s="496"/>
      <c r="BN49" s="496"/>
      <c r="BO49" s="496"/>
      <c r="BP49" s="496"/>
      <c r="BQ49" s="496"/>
      <c r="BR49" s="496"/>
      <c r="BS49" s="496"/>
      <c r="BT49" s="496"/>
      <c r="BU49" s="496"/>
      <c r="BV49" s="496"/>
      <c r="BW49" s="496"/>
      <c r="BX49" s="496"/>
      <c r="BY49" s="496"/>
      <c r="BZ49" s="496"/>
      <c r="CA49" s="496"/>
    </row>
    <row r="50" spans="7:79">
      <c r="G50" s="496"/>
      <c r="H50" s="496"/>
      <c r="I50" s="496"/>
      <c r="J50" s="496"/>
      <c r="K50" s="496"/>
      <c r="L50" s="496"/>
      <c r="M50" s="496"/>
      <c r="N50" s="496"/>
      <c r="O50" s="496"/>
      <c r="P50" s="496"/>
      <c r="Q50" s="496"/>
      <c r="R50" s="496"/>
      <c r="S50" s="496"/>
      <c r="T50" s="496"/>
      <c r="U50" s="496"/>
      <c r="V50" s="496"/>
      <c r="W50" s="496"/>
      <c r="X50" s="496"/>
      <c r="Y50" s="496"/>
      <c r="Z50" s="499"/>
      <c r="AA50" s="1040"/>
      <c r="AB50" s="1040"/>
      <c r="AC50" s="1041"/>
      <c r="AD50" s="500"/>
      <c r="AE50" s="1040"/>
      <c r="AF50" s="1040"/>
      <c r="AG50" s="1041"/>
      <c r="AH50" s="500"/>
      <c r="AI50" s="1040"/>
      <c r="AJ50" s="1040"/>
      <c r="AK50" s="1041"/>
      <c r="AL50" s="500"/>
      <c r="AM50" s="496"/>
      <c r="AN50" s="496"/>
      <c r="AO50" s="496"/>
      <c r="AP50" s="496"/>
      <c r="AQ50" s="496"/>
      <c r="AR50" s="496"/>
      <c r="AS50" s="496"/>
      <c r="AT50" s="496"/>
      <c r="AU50" s="496"/>
      <c r="AV50" s="496"/>
      <c r="AW50" s="496"/>
      <c r="AX50" s="496"/>
      <c r="AY50" s="496"/>
      <c r="AZ50" s="496"/>
      <c r="BA50" s="496"/>
      <c r="BB50" s="496"/>
      <c r="BC50" s="496"/>
      <c r="BD50" s="496"/>
      <c r="BE50" s="496"/>
      <c r="BF50" s="496"/>
      <c r="BG50" s="496"/>
      <c r="BH50" s="496"/>
      <c r="BI50" s="496"/>
      <c r="BJ50" s="496"/>
      <c r="BK50" s="496"/>
      <c r="BL50" s="496"/>
      <c r="BM50" s="496"/>
      <c r="BN50" s="496"/>
      <c r="BO50" s="496"/>
      <c r="BP50" s="496"/>
      <c r="BQ50" s="496"/>
      <c r="BR50" s="496"/>
      <c r="BS50" s="496"/>
      <c r="BT50" s="496"/>
      <c r="BU50" s="496"/>
      <c r="BV50" s="496"/>
      <c r="BW50" s="496"/>
      <c r="BX50" s="496"/>
      <c r="BY50" s="496"/>
      <c r="BZ50" s="496"/>
      <c r="CA50" s="496"/>
    </row>
    <row r="51" spans="7:79">
      <c r="G51" s="496"/>
      <c r="H51" s="496"/>
      <c r="I51" s="496"/>
      <c r="J51" s="496"/>
      <c r="K51" s="496"/>
      <c r="L51" s="496"/>
      <c r="M51" s="496"/>
      <c r="N51" s="496"/>
      <c r="O51" s="496"/>
      <c r="P51" s="496"/>
      <c r="Q51" s="496"/>
      <c r="R51" s="496"/>
      <c r="S51" s="496"/>
      <c r="T51" s="496"/>
      <c r="U51" s="496" t="e">
        <f>IF(B3="zone a",VLOOKUP(X51,T52:W55,2),IF(B3="zone b",VLOOKUP(X51,T52:W55,3),IF(B3="zone c",VLOOKUP(X51,T52:W55,4),0)))</f>
        <v>#N/A</v>
      </c>
      <c r="V51" s="496"/>
      <c r="W51" s="496"/>
      <c r="X51" s="496">
        <f>IF($B$5="&lt;5",$T$53,IF($B$5="5 to 7",$T$54,IF($B$5="&gt;7",$T$55,0)))</f>
        <v>0</v>
      </c>
      <c r="Y51" s="496"/>
      <c r="Z51" s="499"/>
      <c r="AA51" s="1040"/>
      <c r="AB51" s="1040"/>
      <c r="AC51" s="1041"/>
      <c r="AD51" s="500"/>
      <c r="AE51" s="1040"/>
      <c r="AF51" s="1040"/>
      <c r="AG51" s="1041"/>
      <c r="AH51" s="500"/>
      <c r="AI51" s="1040"/>
      <c r="AJ51" s="1040"/>
      <c r="AK51" s="1041"/>
      <c r="AL51" s="500"/>
      <c r="AM51" s="496"/>
      <c r="AN51" s="496"/>
      <c r="AO51" s="496"/>
      <c r="AP51" s="496"/>
      <c r="AQ51" s="496"/>
      <c r="AR51" s="496"/>
      <c r="AS51" s="496"/>
      <c r="AT51" s="496"/>
      <c r="AU51" s="496"/>
      <c r="AV51" s="496"/>
      <c r="AW51" s="496"/>
      <c r="AX51" s="496"/>
      <c r="AY51" s="496"/>
      <c r="AZ51" s="496"/>
      <c r="BA51" s="496"/>
      <c r="BB51" s="496"/>
      <c r="BC51" s="496"/>
      <c r="BD51" s="496"/>
      <c r="BE51" s="496"/>
      <c r="BF51" s="496"/>
      <c r="BG51" s="496"/>
      <c r="BH51" s="496"/>
      <c r="BI51" s="496"/>
      <c r="BJ51" s="496"/>
      <c r="BK51" s="496"/>
      <c r="BL51" s="496"/>
      <c r="BM51" s="496"/>
      <c r="BN51" s="496"/>
      <c r="BO51" s="496"/>
      <c r="BP51" s="496"/>
      <c r="BQ51" s="496"/>
      <c r="BR51" s="496"/>
      <c r="BS51" s="496"/>
      <c r="BT51" s="496"/>
      <c r="BU51" s="496"/>
      <c r="BV51" s="496"/>
      <c r="BW51" s="496"/>
      <c r="BX51" s="496"/>
      <c r="BY51" s="496"/>
      <c r="BZ51" s="496"/>
      <c r="CA51" s="496"/>
    </row>
    <row r="52" spans="7:79">
      <c r="G52" s="496"/>
      <c r="H52" s="496"/>
      <c r="I52" s="496"/>
      <c r="J52" s="496"/>
      <c r="K52" s="496"/>
      <c r="L52" s="496"/>
      <c r="M52" s="496"/>
      <c r="N52" s="496"/>
      <c r="O52" s="496"/>
      <c r="P52" s="496"/>
      <c r="Q52" s="496"/>
      <c r="R52" s="496"/>
      <c r="S52" s="496">
        <v>0</v>
      </c>
      <c r="T52" s="496"/>
      <c r="U52" s="496" t="s">
        <v>91</v>
      </c>
      <c r="V52" s="496" t="s">
        <v>146</v>
      </c>
      <c r="W52" s="496" t="s">
        <v>94</v>
      </c>
      <c r="X52" s="496"/>
      <c r="Y52" s="496"/>
      <c r="Z52" s="499"/>
      <c r="AA52" s="1040"/>
      <c r="AB52" s="1040"/>
      <c r="AC52" s="1041"/>
      <c r="AD52" s="501"/>
      <c r="AE52" s="1040"/>
      <c r="AF52" s="1040"/>
      <c r="AG52" s="1041"/>
      <c r="AH52" s="501"/>
      <c r="AI52" s="1040"/>
      <c r="AJ52" s="1040"/>
      <c r="AK52" s="1041"/>
      <c r="AL52" s="501"/>
      <c r="AM52" s="496"/>
      <c r="AN52" s="496"/>
      <c r="AO52" s="496"/>
      <c r="AP52" s="496"/>
      <c r="AQ52" s="496"/>
      <c r="AR52" s="496"/>
      <c r="AS52" s="496"/>
      <c r="AT52" s="496"/>
      <c r="AU52" s="496"/>
      <c r="AV52" s="496"/>
      <c r="AW52" s="496"/>
      <c r="AX52" s="496"/>
      <c r="AY52" s="496"/>
      <c r="AZ52" s="496"/>
      <c r="BA52" s="496"/>
      <c r="BB52" s="496"/>
      <c r="BC52" s="496"/>
      <c r="BD52" s="496"/>
      <c r="BE52" s="496"/>
      <c r="BF52" s="496"/>
      <c r="BG52" s="496"/>
      <c r="BH52" s="496"/>
      <c r="BI52" s="496"/>
      <c r="BJ52" s="496"/>
      <c r="BK52" s="496"/>
      <c r="BL52" s="496"/>
      <c r="BM52" s="496"/>
      <c r="BN52" s="496"/>
      <c r="BO52" s="496"/>
      <c r="BP52" s="496"/>
      <c r="BQ52" s="496"/>
      <c r="BR52" s="496"/>
      <c r="BS52" s="496"/>
      <c r="BT52" s="496"/>
      <c r="BU52" s="496"/>
      <c r="BV52" s="496"/>
      <c r="BW52" s="496"/>
      <c r="BX52" s="496"/>
      <c r="BY52" s="496"/>
      <c r="BZ52" s="496"/>
      <c r="CA52" s="496"/>
    </row>
    <row r="53" spans="7:79" ht="15.75">
      <c r="G53" s="496"/>
      <c r="H53" s="496"/>
      <c r="I53" s="496"/>
      <c r="J53" s="496"/>
      <c r="K53" s="496"/>
      <c r="L53" s="496"/>
      <c r="M53" s="496"/>
      <c r="N53" s="496"/>
      <c r="O53" s="496"/>
      <c r="P53" s="496"/>
      <c r="Q53" s="496"/>
      <c r="R53" s="496"/>
      <c r="S53" s="496">
        <v>20</v>
      </c>
      <c r="T53" s="496" t="s">
        <v>17</v>
      </c>
      <c r="U53" s="496">
        <v>1.6800000000000002</v>
      </c>
      <c r="V53" s="496">
        <v>1.6720000000000002</v>
      </c>
      <c r="W53" s="496">
        <v>1.6560000000000001</v>
      </c>
      <c r="X53" s="496"/>
      <c r="Y53" s="496"/>
      <c r="Z53" s="502"/>
      <c r="AA53" s="1040"/>
      <c r="AB53" s="1040"/>
      <c r="AC53" s="1041"/>
      <c r="AD53" s="501"/>
      <c r="AE53" s="1040"/>
      <c r="AF53" s="1040"/>
      <c r="AG53" s="1041"/>
      <c r="AH53" s="501"/>
      <c r="AI53" s="1040"/>
      <c r="AJ53" s="1040"/>
      <c r="AK53" s="1041"/>
      <c r="AL53" s="501"/>
      <c r="AM53" s="496"/>
      <c r="AN53" s="496"/>
      <c r="AO53" s="496"/>
      <c r="AP53" s="496"/>
      <c r="AQ53" s="496"/>
      <c r="AR53" s="496"/>
      <c r="AS53" s="496"/>
      <c r="AT53" s="496"/>
      <c r="AU53" s="496"/>
      <c r="AV53" s="496"/>
      <c r="AW53" s="496"/>
      <c r="AX53" s="496"/>
      <c r="AY53" s="496"/>
      <c r="AZ53" s="496"/>
      <c r="BA53" s="496"/>
      <c r="BB53" s="496"/>
      <c r="BC53" s="496"/>
      <c r="BD53" s="496"/>
      <c r="BE53" s="496"/>
      <c r="BF53" s="496"/>
      <c r="BG53" s="496"/>
      <c r="BH53" s="496"/>
      <c r="BI53" s="496"/>
      <c r="BJ53" s="496"/>
      <c r="BK53" s="496"/>
      <c r="BL53" s="496"/>
      <c r="BM53" s="496"/>
      <c r="BN53" s="496"/>
      <c r="BO53" s="496"/>
      <c r="BP53" s="496"/>
      <c r="BQ53" s="496"/>
      <c r="BR53" s="496"/>
      <c r="BS53" s="496"/>
      <c r="BT53" s="496"/>
      <c r="BU53" s="496"/>
      <c r="BV53" s="496"/>
      <c r="BW53" s="496"/>
      <c r="BX53" s="496"/>
      <c r="BY53" s="496"/>
      <c r="BZ53" s="496"/>
      <c r="CA53" s="496"/>
    </row>
    <row r="54" spans="7:79">
      <c r="G54" s="496"/>
      <c r="H54" s="496"/>
      <c r="I54" s="496"/>
      <c r="J54" s="496"/>
      <c r="K54" s="496"/>
      <c r="L54" s="496"/>
      <c r="M54" s="496"/>
      <c r="N54" s="496"/>
      <c r="O54" s="496"/>
      <c r="P54" s="496"/>
      <c r="Q54" s="496"/>
      <c r="R54" s="496"/>
      <c r="S54" s="496">
        <v>25</v>
      </c>
      <c r="T54" s="496" t="s">
        <v>170</v>
      </c>
      <c r="U54" s="496">
        <v>1.722</v>
      </c>
      <c r="V54" s="496">
        <v>1.714</v>
      </c>
      <c r="W54" s="496">
        <v>1.6970000000000001</v>
      </c>
      <c r="X54" s="496"/>
      <c r="Y54" s="496"/>
      <c r="Z54" s="499"/>
      <c r="AA54" s="1040"/>
      <c r="AB54" s="1040"/>
      <c r="AC54" s="1041"/>
      <c r="AD54" s="500"/>
      <c r="AE54" s="1040"/>
      <c r="AF54" s="1040"/>
      <c r="AG54" s="1041"/>
      <c r="AH54" s="500"/>
      <c r="AI54" s="1040"/>
      <c r="AJ54" s="1040"/>
      <c r="AK54" s="1041"/>
      <c r="AL54" s="500"/>
      <c r="AM54" s="496"/>
      <c r="AN54" s="496"/>
      <c r="AO54" s="496"/>
      <c r="AP54" s="496"/>
      <c r="AQ54" s="496"/>
      <c r="AR54" s="496"/>
      <c r="AS54" s="496"/>
      <c r="AT54" s="496"/>
      <c r="AU54" s="496"/>
      <c r="AV54" s="496"/>
      <c r="AW54" s="496"/>
      <c r="AX54" s="496"/>
      <c r="AY54" s="496"/>
      <c r="AZ54" s="496"/>
      <c r="BA54" s="496"/>
      <c r="BB54" s="496"/>
      <c r="BC54" s="496"/>
      <c r="BD54" s="496"/>
      <c r="BE54" s="496"/>
      <c r="BF54" s="496"/>
      <c r="BG54" s="496"/>
      <c r="BH54" s="496"/>
      <c r="BI54" s="496"/>
      <c r="BJ54" s="496"/>
      <c r="BK54" s="496"/>
      <c r="BL54" s="496"/>
      <c r="BM54" s="496"/>
      <c r="BN54" s="496"/>
      <c r="BO54" s="496"/>
      <c r="BP54" s="496"/>
      <c r="BQ54" s="496"/>
      <c r="BR54" s="496"/>
      <c r="BS54" s="496"/>
      <c r="BT54" s="496"/>
      <c r="BU54" s="496"/>
      <c r="BV54" s="496"/>
      <c r="BW54" s="496"/>
      <c r="BX54" s="496"/>
      <c r="BY54" s="496"/>
      <c r="BZ54" s="496"/>
      <c r="CA54" s="496"/>
    </row>
    <row r="55" spans="7:79" ht="22.5" customHeight="1">
      <c r="G55" s="496"/>
      <c r="H55" s="496"/>
      <c r="I55" s="496"/>
      <c r="J55" s="496"/>
      <c r="K55" s="496"/>
      <c r="L55" s="496"/>
      <c r="M55" s="496"/>
      <c r="N55" s="496"/>
      <c r="O55" s="496"/>
      <c r="P55" s="496"/>
      <c r="Q55" s="496"/>
      <c r="R55" s="496"/>
      <c r="S55" s="496">
        <v>35</v>
      </c>
      <c r="T55" s="496">
        <v>7.1</v>
      </c>
      <c r="U55" s="496">
        <v>1.764</v>
      </c>
      <c r="V55" s="496">
        <v>1.756</v>
      </c>
      <c r="W55" s="496">
        <v>1.7389999999999999</v>
      </c>
      <c r="X55" s="496"/>
      <c r="Y55" s="496"/>
      <c r="Z55" s="499"/>
      <c r="AA55" s="1040"/>
      <c r="AB55" s="1040"/>
      <c r="AC55" s="1041"/>
      <c r="AD55" s="500"/>
      <c r="AE55" s="1040"/>
      <c r="AF55" s="1040"/>
      <c r="AG55" s="1041"/>
      <c r="AH55" s="500"/>
      <c r="AI55" s="1040"/>
      <c r="AJ55" s="1040"/>
      <c r="AK55" s="1041"/>
      <c r="AL55" s="500"/>
      <c r="AM55" s="496"/>
      <c r="AN55" s="496"/>
      <c r="AO55" s="496"/>
      <c r="AP55" s="496"/>
      <c r="AQ55" s="496"/>
      <c r="AR55" s="496"/>
      <c r="AS55" s="496"/>
      <c r="AT55" s="496"/>
      <c r="AU55" s="496"/>
      <c r="AV55" s="496"/>
      <c r="AW55" s="496"/>
      <c r="AX55" s="496"/>
      <c r="AY55" s="496"/>
      <c r="AZ55" s="496"/>
      <c r="BA55" s="496"/>
      <c r="BB55" s="496"/>
      <c r="BC55" s="496"/>
      <c r="BD55" s="496"/>
      <c r="BE55" s="496"/>
      <c r="BF55" s="496"/>
      <c r="BG55" s="496"/>
      <c r="BH55" s="496"/>
      <c r="BI55" s="496"/>
      <c r="BJ55" s="496"/>
      <c r="BK55" s="496"/>
      <c r="BL55" s="496"/>
      <c r="BM55" s="496"/>
      <c r="BN55" s="496"/>
      <c r="BO55" s="496"/>
      <c r="BP55" s="496"/>
      <c r="BQ55" s="496"/>
      <c r="BR55" s="496"/>
      <c r="BS55" s="496"/>
      <c r="BT55" s="496"/>
      <c r="BU55" s="496"/>
      <c r="BV55" s="496"/>
      <c r="BW55" s="496"/>
      <c r="BX55" s="496"/>
      <c r="BY55" s="496"/>
      <c r="BZ55" s="496"/>
      <c r="CA55" s="496"/>
    </row>
    <row r="56" spans="7:79">
      <c r="G56" s="496"/>
      <c r="H56" s="496"/>
      <c r="I56" s="496"/>
      <c r="J56" s="496"/>
      <c r="K56" s="496"/>
      <c r="L56" s="496"/>
      <c r="M56" s="496"/>
      <c r="N56" s="496"/>
      <c r="O56" s="496"/>
      <c r="P56" s="496"/>
      <c r="Q56" s="496"/>
      <c r="R56" s="496"/>
      <c r="S56" s="496">
        <v>45</v>
      </c>
      <c r="T56" s="496"/>
      <c r="U56" s="496"/>
      <c r="V56" s="496"/>
      <c r="W56" s="496"/>
      <c r="X56" s="496"/>
      <c r="Y56" s="496"/>
      <c r="Z56" s="499"/>
      <c r="AA56" s="499"/>
      <c r="AB56" s="499"/>
      <c r="AC56" s="500"/>
      <c r="AD56" s="500"/>
      <c r="AE56" s="499"/>
      <c r="AF56" s="499"/>
      <c r="AG56" s="500"/>
      <c r="AH56" s="500"/>
      <c r="AI56" s="499"/>
      <c r="AJ56" s="499"/>
      <c r="AK56" s="500"/>
      <c r="AL56" s="500"/>
      <c r="AM56" s="496"/>
      <c r="AN56" s="496"/>
      <c r="AO56" s="496"/>
      <c r="AP56" s="496"/>
      <c r="AQ56" s="496"/>
      <c r="AR56" s="496"/>
      <c r="AS56" s="496"/>
      <c r="AT56" s="496"/>
      <c r="AU56" s="496"/>
      <c r="AV56" s="496"/>
      <c r="AW56" s="496"/>
      <c r="AX56" s="496"/>
      <c r="AY56" s="496"/>
      <c r="AZ56" s="496"/>
      <c r="BA56" s="496"/>
      <c r="BB56" s="496"/>
      <c r="BC56" s="496"/>
      <c r="BD56" s="496"/>
      <c r="BE56" s="496"/>
      <c r="BF56" s="496"/>
      <c r="BG56" s="496"/>
      <c r="BH56" s="496"/>
      <c r="BI56" s="496"/>
      <c r="BJ56" s="496"/>
      <c r="BK56" s="496"/>
      <c r="BL56" s="496"/>
      <c r="BM56" s="496"/>
      <c r="BN56" s="496"/>
      <c r="BO56" s="496"/>
      <c r="BP56" s="496"/>
      <c r="BQ56" s="496"/>
      <c r="BR56" s="496"/>
      <c r="BS56" s="496"/>
      <c r="BT56" s="496"/>
      <c r="BU56" s="496"/>
      <c r="BV56" s="496"/>
      <c r="BW56" s="496"/>
      <c r="BX56" s="496"/>
      <c r="BY56" s="496"/>
      <c r="BZ56" s="496"/>
      <c r="CA56" s="496"/>
    </row>
    <row r="57" spans="7:79" ht="36.75" customHeight="1">
      <c r="G57" s="496"/>
      <c r="H57" s="496"/>
      <c r="I57" s="496"/>
      <c r="J57" s="496"/>
      <c r="K57" s="496"/>
      <c r="L57" s="496"/>
      <c r="M57" s="496"/>
      <c r="N57" s="496"/>
      <c r="O57" s="496"/>
      <c r="P57" s="496"/>
      <c r="Q57" s="496"/>
      <c r="R57" s="496"/>
      <c r="S57" s="496">
        <v>50</v>
      </c>
      <c r="T57" s="496"/>
      <c r="U57" s="496"/>
      <c r="V57" s="496"/>
      <c r="W57" s="496"/>
      <c r="X57" s="496"/>
      <c r="Y57" s="496"/>
      <c r="Z57" s="514"/>
      <c r="AA57" s="514"/>
      <c r="AB57" s="514"/>
      <c r="AC57" s="515"/>
      <c r="AD57" s="515"/>
      <c r="AE57" s="514"/>
      <c r="AF57" s="514"/>
      <c r="AG57" s="515"/>
      <c r="AH57" s="515"/>
      <c r="AI57" s="514"/>
      <c r="AJ57" s="499"/>
      <c r="AK57" s="500"/>
      <c r="AL57" s="500"/>
      <c r="AM57" s="496"/>
      <c r="AN57" s="496"/>
      <c r="AO57" s="496"/>
      <c r="AP57" s="496"/>
      <c r="AQ57" s="496"/>
      <c r="AR57" s="496"/>
      <c r="AS57" s="496"/>
      <c r="AT57" s="496"/>
      <c r="AU57" s="496"/>
      <c r="AV57" s="496"/>
      <c r="AW57" s="496"/>
      <c r="AX57" s="496"/>
      <c r="AY57" s="496"/>
      <c r="AZ57" s="496"/>
      <c r="BA57" s="496"/>
      <c r="BB57" s="496"/>
      <c r="BC57" s="496"/>
      <c r="BD57" s="496"/>
      <c r="BE57" s="496"/>
      <c r="BF57" s="496"/>
      <c r="BG57" s="496"/>
      <c r="BH57" s="496"/>
      <c r="BI57" s="496"/>
      <c r="BJ57" s="496"/>
      <c r="BK57" s="496"/>
      <c r="BL57" s="496"/>
      <c r="BM57" s="496"/>
      <c r="BN57" s="496"/>
      <c r="BO57" s="496"/>
      <c r="BP57" s="496"/>
      <c r="BQ57" s="496"/>
      <c r="BR57" s="496"/>
      <c r="BS57" s="496"/>
      <c r="BT57" s="496"/>
      <c r="BU57" s="496"/>
      <c r="BV57" s="496"/>
      <c r="BW57" s="496"/>
      <c r="BX57" s="496"/>
      <c r="BY57" s="496"/>
      <c r="BZ57" s="496"/>
      <c r="CA57" s="496"/>
    </row>
    <row r="58" spans="7:79">
      <c r="G58" s="496"/>
      <c r="H58" s="496"/>
      <c r="I58" s="496"/>
      <c r="J58" s="496"/>
      <c r="K58" s="496"/>
      <c r="L58" s="496"/>
      <c r="M58" s="496"/>
      <c r="N58" s="496"/>
      <c r="O58" s="496"/>
      <c r="P58" s="496"/>
      <c r="Q58" s="496"/>
      <c r="R58" s="496"/>
      <c r="S58" s="496"/>
      <c r="T58" s="496"/>
      <c r="U58" s="496"/>
      <c r="V58" s="496"/>
      <c r="W58" s="496"/>
      <c r="X58" s="496"/>
      <c r="Y58" s="496"/>
      <c r="Z58" s="514"/>
      <c r="AA58" s="514"/>
      <c r="AB58" s="514"/>
      <c r="AC58" s="515"/>
      <c r="AD58" s="501"/>
      <c r="AE58" s="514"/>
      <c r="AF58" s="514"/>
      <c r="AG58" s="515"/>
      <c r="AH58" s="501"/>
      <c r="AI58" s="514"/>
      <c r="AJ58" s="499"/>
      <c r="AK58" s="500"/>
      <c r="AL58" s="501"/>
      <c r="AM58" s="496"/>
      <c r="AN58" s="496"/>
      <c r="AO58" s="496"/>
      <c r="AP58" s="496"/>
      <c r="AQ58" s="496"/>
      <c r="AR58" s="496"/>
      <c r="AS58" s="496"/>
      <c r="AT58" s="496"/>
      <c r="AU58" s="496"/>
      <c r="AV58" s="496"/>
      <c r="AW58" s="496"/>
      <c r="AX58" s="496"/>
      <c r="AY58" s="496"/>
      <c r="AZ58" s="496"/>
      <c r="BA58" s="496"/>
      <c r="BB58" s="496"/>
      <c r="BC58" s="496"/>
      <c r="BD58" s="496"/>
      <c r="BE58" s="496"/>
      <c r="BF58" s="496"/>
      <c r="BG58" s="496"/>
      <c r="BH58" s="496"/>
      <c r="BI58" s="496"/>
      <c r="BJ58" s="496"/>
      <c r="BK58" s="496"/>
      <c r="BL58" s="496"/>
      <c r="BM58" s="496"/>
      <c r="BN58" s="496"/>
      <c r="BO58" s="496"/>
      <c r="BP58" s="496"/>
      <c r="BQ58" s="496"/>
      <c r="BR58" s="496"/>
      <c r="BS58" s="496"/>
      <c r="BT58" s="496"/>
      <c r="BU58" s="496"/>
      <c r="BV58" s="496"/>
      <c r="BW58" s="496"/>
      <c r="BX58" s="496"/>
      <c r="BY58" s="496"/>
      <c r="BZ58" s="496"/>
      <c r="CA58" s="496"/>
    </row>
    <row r="59" spans="7:79" ht="15.75">
      <c r="G59" s="496"/>
      <c r="H59" s="496"/>
      <c r="I59" s="496"/>
      <c r="J59" s="496"/>
      <c r="K59" s="496"/>
      <c r="L59" s="496"/>
      <c r="M59" s="496"/>
      <c r="N59" s="496" t="s">
        <v>171</v>
      </c>
      <c r="O59" s="503" t="s">
        <v>172</v>
      </c>
      <c r="P59" s="503" t="s">
        <v>173</v>
      </c>
      <c r="Q59" s="503" t="s">
        <v>174</v>
      </c>
      <c r="R59" s="504"/>
      <c r="S59" s="496"/>
      <c r="T59" s="977" t="s">
        <v>175</v>
      </c>
      <c r="U59" s="977"/>
      <c r="V59" s="977"/>
      <c r="W59" s="977"/>
      <c r="X59" s="496"/>
      <c r="Y59" s="496"/>
      <c r="Z59" s="505"/>
      <c r="AA59" s="514"/>
      <c r="AB59" s="514"/>
      <c r="AC59" s="515"/>
      <c r="AD59" s="501"/>
      <c r="AE59" s="514"/>
      <c r="AF59" s="514"/>
      <c r="AG59" s="515"/>
      <c r="AH59" s="501"/>
      <c r="AI59" s="514"/>
      <c r="AJ59" s="499"/>
      <c r="AK59" s="500"/>
      <c r="AL59" s="501"/>
      <c r="AM59" s="496"/>
      <c r="AN59" s="496"/>
      <c r="AO59" s="496"/>
      <c r="AP59" s="496"/>
      <c r="AQ59" s="496"/>
      <c r="AR59" s="496"/>
      <c r="AS59" s="496"/>
      <c r="AT59" s="496"/>
      <c r="AU59" s="496"/>
      <c r="AV59" s="496"/>
      <c r="AW59" s="496"/>
      <c r="AX59" s="496"/>
      <c r="AY59" s="496"/>
      <c r="AZ59" s="496"/>
      <c r="BA59" s="496"/>
      <c r="BB59" s="496"/>
      <c r="BC59" s="496"/>
      <c r="BD59" s="496"/>
      <c r="BE59" s="496"/>
      <c r="BF59" s="496"/>
      <c r="BG59" s="496"/>
      <c r="BH59" s="496"/>
      <c r="BI59" s="496"/>
      <c r="BJ59" s="496"/>
      <c r="BK59" s="496"/>
      <c r="BL59" s="496"/>
      <c r="BM59" s="496"/>
      <c r="BN59" s="496"/>
      <c r="BO59" s="496"/>
      <c r="BP59" s="496"/>
      <c r="BQ59" s="496"/>
      <c r="BR59" s="496"/>
      <c r="BS59" s="496"/>
      <c r="BT59" s="496"/>
      <c r="BU59" s="496"/>
      <c r="BV59" s="496"/>
      <c r="BW59" s="496"/>
      <c r="BX59" s="496"/>
      <c r="BY59" s="496"/>
      <c r="BZ59" s="496"/>
      <c r="CA59" s="496"/>
    </row>
    <row r="60" spans="7:79" ht="56.65" customHeight="1">
      <c r="G60" s="496"/>
      <c r="H60" s="496"/>
      <c r="I60" s="496"/>
      <c r="J60" s="496"/>
      <c r="K60" s="496"/>
      <c r="L60" s="496"/>
      <c r="M60" s="496"/>
      <c r="N60" s="496" t="s">
        <v>14</v>
      </c>
      <c r="O60" s="496" t="str">
        <f>IF(N71="&lt;5",$T$53,IF(N71="5 to 7",$T$54,IF(N71="&gt;7",$T$55,0)))</f>
        <v>&lt;5</v>
      </c>
      <c r="P60" s="496" t="s">
        <v>46</v>
      </c>
      <c r="Q60" s="496" t="str">
        <f>IF($D$2="&lt;1000",$U$60,IF($D$2="1000-1500",$V$60,IF($D$2="&gt;1500",$W$60,0)))</f>
        <v>&lt;1000</v>
      </c>
      <c r="R60" s="496"/>
      <c r="S60" s="496"/>
      <c r="T60" s="506"/>
      <c r="U60" s="507" t="s">
        <v>91</v>
      </c>
      <c r="V60" s="507" t="s">
        <v>146</v>
      </c>
      <c r="W60" s="507">
        <v>1500.1</v>
      </c>
      <c r="X60" s="496"/>
      <c r="Y60" s="496"/>
      <c r="Z60" s="508" t="s">
        <v>176</v>
      </c>
      <c r="AA60" s="508" t="s">
        <v>177</v>
      </c>
      <c r="AB60" s="508" t="s">
        <v>110</v>
      </c>
      <c r="AC60" s="508" t="s">
        <v>111</v>
      </c>
      <c r="AD60" s="508" t="s">
        <v>178</v>
      </c>
      <c r="AE60" s="508" t="s">
        <v>179</v>
      </c>
      <c r="AF60" s="508" t="s">
        <v>113</v>
      </c>
      <c r="AG60" s="496"/>
      <c r="AH60" s="496"/>
      <c r="AI60" s="496"/>
      <c r="AJ60" s="496"/>
      <c r="AK60" s="496"/>
      <c r="AL60" s="496"/>
      <c r="AM60" s="496"/>
      <c r="AN60" s="496"/>
      <c r="AO60" s="496"/>
      <c r="AP60" s="496"/>
      <c r="AQ60" s="496"/>
      <c r="AR60" s="496"/>
      <c r="AS60" s="496"/>
      <c r="AT60" s="496"/>
      <c r="AU60" s="496"/>
      <c r="AV60" s="496"/>
      <c r="AW60" s="496"/>
      <c r="AX60" s="496"/>
      <c r="AY60" s="496"/>
      <c r="AZ60" s="496"/>
      <c r="BA60" s="496"/>
      <c r="BB60" s="496"/>
      <c r="BC60" s="496"/>
      <c r="BD60" s="496"/>
      <c r="BE60" s="496"/>
      <c r="BF60" s="496"/>
      <c r="BG60" s="496"/>
      <c r="BH60" s="496"/>
      <c r="BI60" s="496"/>
      <c r="BJ60" s="496"/>
      <c r="BK60" s="496"/>
      <c r="BL60" s="496"/>
      <c r="BM60" s="496"/>
      <c r="BN60" s="496"/>
      <c r="BO60" s="496"/>
      <c r="BP60" s="496"/>
      <c r="BQ60" s="496"/>
      <c r="BR60" s="496"/>
      <c r="BS60" s="496"/>
      <c r="BT60" s="496"/>
      <c r="BU60" s="496"/>
      <c r="BV60" s="496"/>
      <c r="BW60" s="496"/>
      <c r="BX60" s="496"/>
      <c r="BY60" s="496"/>
      <c r="BZ60" s="496"/>
      <c r="CA60" s="496"/>
    </row>
    <row r="61" spans="7:79" ht="56.25">
      <c r="G61" s="496"/>
      <c r="H61" s="496"/>
      <c r="I61" s="496"/>
      <c r="J61" s="496"/>
      <c r="K61" s="496"/>
      <c r="L61" s="496"/>
      <c r="M61" s="496"/>
      <c r="N61" s="496" t="s">
        <v>50</v>
      </c>
      <c r="O61" s="496"/>
      <c r="P61" s="496" t="s">
        <v>11</v>
      </c>
      <c r="Q61" s="496"/>
      <c r="R61" s="496"/>
      <c r="S61" s="496"/>
      <c r="T61" s="509" t="s">
        <v>17</v>
      </c>
      <c r="U61" s="509">
        <v>3.1909999999999998</v>
      </c>
      <c r="V61" s="509">
        <v>3.351</v>
      </c>
      <c r="W61" s="509">
        <v>3.51</v>
      </c>
      <c r="X61" s="496"/>
      <c r="Y61" s="496"/>
      <c r="Z61" s="508" t="s">
        <v>180</v>
      </c>
      <c r="AA61" s="508" t="s">
        <v>181</v>
      </c>
      <c r="AB61" s="508" t="s">
        <v>182</v>
      </c>
      <c r="AC61" s="508" t="s">
        <v>183</v>
      </c>
      <c r="AD61" s="508" t="s">
        <v>184</v>
      </c>
      <c r="AE61" s="508" t="s">
        <v>185</v>
      </c>
      <c r="AF61" s="508" t="s">
        <v>186</v>
      </c>
      <c r="AG61" s="496"/>
      <c r="AH61" s="496"/>
      <c r="AI61" s="496"/>
      <c r="AJ61" s="496"/>
      <c r="AK61" s="496"/>
      <c r="AL61" s="496"/>
      <c r="AM61" s="496"/>
      <c r="AN61" s="496"/>
      <c r="AO61" s="496"/>
      <c r="AP61" s="496"/>
      <c r="AQ61" s="496"/>
      <c r="AR61" s="496"/>
      <c r="AS61" s="496"/>
      <c r="AT61" s="496"/>
      <c r="AU61" s="496"/>
      <c r="AV61" s="496"/>
      <c r="AW61" s="496"/>
      <c r="AX61" s="496"/>
      <c r="AY61" s="496"/>
      <c r="AZ61" s="496"/>
      <c r="BA61" s="496"/>
      <c r="BB61" s="496"/>
      <c r="BC61" s="496"/>
      <c r="BD61" s="496"/>
      <c r="BE61" s="496"/>
      <c r="BF61" s="496"/>
      <c r="BG61" s="496"/>
      <c r="BH61" s="496"/>
      <c r="BI61" s="496"/>
      <c r="BJ61" s="496"/>
      <c r="BK61" s="496"/>
      <c r="BL61" s="496"/>
      <c r="BM61" s="496"/>
      <c r="BN61" s="496"/>
      <c r="BO61" s="496"/>
      <c r="BP61" s="496"/>
      <c r="BQ61" s="496"/>
      <c r="BR61" s="496"/>
      <c r="BS61" s="496"/>
      <c r="BT61" s="496"/>
      <c r="BU61" s="496"/>
      <c r="BV61" s="496"/>
      <c r="BW61" s="496"/>
      <c r="BX61" s="496"/>
      <c r="BY61" s="496"/>
      <c r="BZ61" s="496"/>
      <c r="CA61" s="496"/>
    </row>
    <row r="62" spans="7:79" ht="33.75">
      <c r="G62" s="496"/>
      <c r="H62" s="496"/>
      <c r="I62" s="496"/>
      <c r="J62" s="496"/>
      <c r="K62" s="496"/>
      <c r="L62" s="496"/>
      <c r="M62" s="496"/>
      <c r="N62" s="496"/>
      <c r="O62" s="503" t="s">
        <v>38</v>
      </c>
      <c r="P62" s="496"/>
      <c r="Q62" s="496"/>
      <c r="R62" s="496"/>
      <c r="S62" s="496"/>
      <c r="T62" s="509" t="s">
        <v>170</v>
      </c>
      <c r="U62" s="509">
        <v>3.2709999999999999</v>
      </c>
      <c r="V62" s="509">
        <v>3.4350000000000001</v>
      </c>
      <c r="W62" s="509">
        <v>3.5979999999999999</v>
      </c>
      <c r="X62" s="496"/>
      <c r="Y62" s="496"/>
      <c r="Z62" s="508" t="s">
        <v>187</v>
      </c>
      <c r="AA62" s="508" t="s">
        <v>110</v>
      </c>
      <c r="AB62" s="508" t="s">
        <v>188</v>
      </c>
      <c r="AC62" s="508" t="s">
        <v>189</v>
      </c>
      <c r="AD62" s="508" t="s">
        <v>179</v>
      </c>
      <c r="AE62" s="508" t="s">
        <v>190</v>
      </c>
      <c r="AF62" s="508" t="s">
        <v>191</v>
      </c>
      <c r="AG62" s="496"/>
      <c r="AH62" s="496"/>
      <c r="AI62" s="496"/>
      <c r="AJ62" s="496"/>
      <c r="AK62" s="496"/>
      <c r="AL62" s="496"/>
      <c r="AM62" s="496"/>
      <c r="AN62" s="496"/>
      <c r="AO62" s="496"/>
      <c r="AP62" s="496"/>
      <c r="AQ62" s="496"/>
      <c r="AR62" s="496"/>
      <c r="AS62" s="496"/>
      <c r="AT62" s="496"/>
      <c r="AU62" s="496"/>
      <c r="AV62" s="496"/>
      <c r="AW62" s="496"/>
      <c r="AX62" s="496"/>
      <c r="AY62" s="496"/>
      <c r="AZ62" s="496"/>
      <c r="BA62" s="496"/>
      <c r="BB62" s="496"/>
      <c r="BC62" s="496"/>
      <c r="BD62" s="496"/>
      <c r="BE62" s="496"/>
      <c r="BF62" s="496"/>
      <c r="BG62" s="496"/>
      <c r="BH62" s="496"/>
      <c r="BI62" s="496"/>
      <c r="BJ62" s="496"/>
      <c r="BK62" s="496"/>
      <c r="BL62" s="496"/>
      <c r="BM62" s="496"/>
      <c r="BN62" s="496"/>
      <c r="BO62" s="496"/>
      <c r="BP62" s="496"/>
      <c r="BQ62" s="496"/>
      <c r="BR62" s="496"/>
      <c r="BS62" s="496"/>
      <c r="BT62" s="496"/>
      <c r="BU62" s="496"/>
      <c r="BV62" s="496"/>
      <c r="BW62" s="496"/>
      <c r="BX62" s="496"/>
      <c r="BY62" s="496"/>
      <c r="BZ62" s="496"/>
      <c r="CA62" s="496"/>
    </row>
    <row r="63" spans="7:79">
      <c r="G63" s="496"/>
      <c r="H63" s="496"/>
      <c r="I63" s="496"/>
      <c r="J63" s="496"/>
      <c r="K63" s="496"/>
      <c r="L63" s="496"/>
      <c r="M63" s="496"/>
      <c r="N63" s="496"/>
      <c r="O63" s="496" t="s">
        <v>192</v>
      </c>
      <c r="P63" s="496">
        <f>IF($D$2="&lt;1000",U68,IF($D$2="1000-1500",V68,IF($D$2="&gt;1500",W68,0)))</f>
        <v>3.2839999999999998</v>
      </c>
      <c r="Q63" s="496"/>
      <c r="R63" s="496"/>
      <c r="S63" s="496"/>
      <c r="T63" s="509">
        <v>7.1</v>
      </c>
      <c r="U63" s="509">
        <v>3.351</v>
      </c>
      <c r="V63" s="509">
        <v>3.5190000000000001</v>
      </c>
      <c r="W63" s="509">
        <v>3.6859999999999999</v>
      </c>
      <c r="X63" s="496"/>
      <c r="Y63" s="496"/>
      <c r="Z63" s="496"/>
      <c r="AA63" s="496"/>
      <c r="AB63" s="496"/>
      <c r="AC63" s="496"/>
      <c r="AD63" s="496"/>
      <c r="AE63" s="496"/>
      <c r="AF63" s="496"/>
      <c r="AG63" s="496"/>
      <c r="AH63" s="496"/>
      <c r="AI63" s="496"/>
      <c r="AJ63" s="496"/>
      <c r="AK63" s="496"/>
      <c r="AL63" s="496"/>
      <c r="AM63" s="496"/>
      <c r="AN63" s="496"/>
      <c r="AO63" s="496"/>
      <c r="AP63" s="496"/>
      <c r="AQ63" s="496"/>
      <c r="AR63" s="496"/>
      <c r="AS63" s="496"/>
      <c r="AT63" s="496"/>
      <c r="AU63" s="496"/>
      <c r="AV63" s="496"/>
      <c r="AW63" s="496"/>
      <c r="AX63" s="496"/>
      <c r="AY63" s="496"/>
      <c r="AZ63" s="496"/>
      <c r="BA63" s="496"/>
      <c r="BB63" s="496"/>
      <c r="BC63" s="496"/>
      <c r="BD63" s="496"/>
      <c r="BE63" s="496"/>
      <c r="BF63" s="496"/>
      <c r="BG63" s="496"/>
      <c r="BH63" s="496"/>
      <c r="BI63" s="496"/>
      <c r="BJ63" s="496"/>
      <c r="BK63" s="496"/>
      <c r="BL63" s="496"/>
      <c r="BM63" s="496"/>
      <c r="BN63" s="496"/>
      <c r="BO63" s="496"/>
      <c r="BP63" s="496"/>
      <c r="BQ63" s="496"/>
      <c r="BR63" s="496"/>
      <c r="BS63" s="496"/>
      <c r="BT63" s="496"/>
      <c r="BU63" s="496"/>
      <c r="BV63" s="496"/>
      <c r="BW63" s="496"/>
      <c r="BX63" s="496"/>
      <c r="BY63" s="496"/>
      <c r="BZ63" s="496"/>
      <c r="CA63" s="496"/>
    </row>
    <row r="64" spans="7:79">
      <c r="G64" s="496"/>
      <c r="H64" s="496"/>
      <c r="I64" s="496"/>
      <c r="J64" s="496"/>
      <c r="K64" s="496"/>
      <c r="L64" s="496"/>
      <c r="M64" s="496"/>
      <c r="N64" s="496"/>
      <c r="O64" s="496" t="s">
        <v>193</v>
      </c>
      <c r="P64" s="496">
        <f>IF($D$2="&lt;1000",U61,IF($D$2="1000-1500",V61,IF($D$2="&gt;1500",W61,0)))</f>
        <v>3.1909999999999998</v>
      </c>
      <c r="Q64" s="496"/>
      <c r="R64" s="496" t="s">
        <v>91</v>
      </c>
      <c r="S64" s="496"/>
      <c r="T64" s="509"/>
      <c r="U64" s="496"/>
      <c r="V64" s="496"/>
      <c r="W64" s="509"/>
      <c r="X64" s="496"/>
      <c r="Y64" s="496"/>
      <c r="Z64" s="496"/>
      <c r="AA64" s="496"/>
      <c r="AB64" s="496"/>
      <c r="AC64" s="496"/>
      <c r="AD64" s="496"/>
      <c r="AE64" s="496"/>
      <c r="AF64" s="496"/>
      <c r="AG64" s="496"/>
      <c r="AH64" s="496"/>
      <c r="AI64" s="496"/>
      <c r="AJ64" s="496"/>
      <c r="AK64" s="496"/>
      <c r="AL64" s="496"/>
      <c r="AM64" s="496"/>
      <c r="AN64" s="496"/>
      <c r="AO64" s="496"/>
      <c r="AP64" s="496"/>
      <c r="AQ64" s="496"/>
      <c r="AR64" s="496"/>
      <c r="AS64" s="496"/>
      <c r="AT64" s="496"/>
      <c r="AU64" s="496"/>
      <c r="AV64" s="496"/>
      <c r="AW64" s="496"/>
      <c r="AX64" s="496"/>
      <c r="AY64" s="496"/>
      <c r="AZ64" s="496"/>
      <c r="BA64" s="496"/>
      <c r="BB64" s="496"/>
      <c r="BC64" s="496"/>
      <c r="BD64" s="496"/>
      <c r="BE64" s="496"/>
      <c r="BF64" s="496"/>
      <c r="BG64" s="496"/>
      <c r="BH64" s="496"/>
      <c r="BI64" s="496"/>
      <c r="BJ64" s="496"/>
      <c r="BK64" s="496"/>
      <c r="BL64" s="496"/>
      <c r="BM64" s="496"/>
      <c r="BN64" s="496"/>
      <c r="BO64" s="496"/>
      <c r="BP64" s="496"/>
      <c r="BQ64" s="496"/>
      <c r="BR64" s="496"/>
      <c r="BS64" s="496"/>
      <c r="BT64" s="496"/>
      <c r="BU64" s="496"/>
      <c r="BV64" s="496"/>
      <c r="BW64" s="496"/>
      <c r="BX64" s="496"/>
      <c r="BY64" s="496"/>
      <c r="BZ64" s="496"/>
      <c r="CA64" s="496"/>
    </row>
    <row r="65" spans="1:79">
      <c r="G65" s="496"/>
      <c r="H65" s="496"/>
      <c r="I65" s="496"/>
      <c r="J65" s="496"/>
      <c r="K65" s="496"/>
      <c r="L65" s="496"/>
      <c r="M65" s="496"/>
      <c r="N65" s="496"/>
      <c r="O65" s="496"/>
      <c r="P65" s="496"/>
      <c r="Q65" s="496"/>
      <c r="R65" s="496" t="s">
        <v>146</v>
      </c>
      <c r="S65" s="496"/>
      <c r="T65" s="977" t="s">
        <v>194</v>
      </c>
      <c r="U65" s="977"/>
      <c r="V65" s="977"/>
      <c r="W65" s="977"/>
      <c r="X65" s="496"/>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496"/>
      <c r="AX65" s="496"/>
      <c r="AY65" s="496"/>
      <c r="AZ65" s="496"/>
      <c r="BA65" s="496"/>
      <c r="BB65" s="496"/>
      <c r="BC65" s="496"/>
      <c r="BD65" s="496"/>
      <c r="BE65" s="496"/>
      <c r="BF65" s="496"/>
      <c r="BG65" s="496"/>
      <c r="BH65" s="496"/>
      <c r="BI65" s="496"/>
      <c r="BJ65" s="496"/>
      <c r="BK65" s="496"/>
      <c r="BL65" s="496"/>
      <c r="BM65" s="496"/>
      <c r="BN65" s="496"/>
      <c r="BO65" s="496"/>
      <c r="BP65" s="496"/>
      <c r="BQ65" s="496"/>
      <c r="BR65" s="496"/>
      <c r="BS65" s="496"/>
      <c r="BT65" s="496"/>
      <c r="BU65" s="496"/>
      <c r="BV65" s="496"/>
      <c r="BW65" s="496"/>
      <c r="BX65" s="496"/>
      <c r="BY65" s="496"/>
      <c r="BZ65" s="496"/>
      <c r="CA65" s="496"/>
    </row>
    <row r="66" spans="1:79">
      <c r="G66" s="496"/>
      <c r="H66" s="496"/>
      <c r="I66" s="496"/>
      <c r="J66" s="496"/>
      <c r="K66" s="496"/>
      <c r="L66" s="496"/>
      <c r="M66" s="496"/>
      <c r="N66" s="496"/>
      <c r="O66" s="496"/>
      <c r="P66" s="496"/>
      <c r="Q66" s="496"/>
      <c r="R66" s="496" t="s">
        <v>94</v>
      </c>
      <c r="S66" s="496"/>
      <c r="T66" s="509"/>
      <c r="U66" s="496"/>
      <c r="V66" s="496"/>
      <c r="W66" s="509"/>
      <c r="X66" s="496"/>
      <c r="Y66" s="496"/>
      <c r="Z66" s="496"/>
      <c r="AA66" s="496"/>
      <c r="AB66" s="496"/>
      <c r="AC66" s="496"/>
      <c r="AD66" s="496"/>
      <c r="AE66" s="496"/>
      <c r="AF66" s="496"/>
      <c r="AG66" s="496"/>
      <c r="AH66" s="496"/>
      <c r="AI66" s="496"/>
      <c r="AJ66" s="496"/>
      <c r="AK66" s="496"/>
      <c r="AL66" s="496"/>
      <c r="AM66" s="496"/>
      <c r="AN66" s="496"/>
      <c r="AO66" s="496"/>
      <c r="AP66" s="496"/>
      <c r="AQ66" s="496"/>
      <c r="AR66" s="496"/>
      <c r="AS66" s="496"/>
      <c r="AT66" s="496"/>
      <c r="AU66" s="496"/>
      <c r="AV66" s="496"/>
      <c r="AW66" s="496"/>
      <c r="AX66" s="496"/>
      <c r="AY66" s="496"/>
      <c r="AZ66" s="496"/>
      <c r="BA66" s="496"/>
      <c r="BB66" s="496"/>
      <c r="BC66" s="496"/>
      <c r="BD66" s="496"/>
      <c r="BE66" s="496"/>
      <c r="BF66" s="496"/>
      <c r="BG66" s="496"/>
      <c r="BH66" s="496"/>
      <c r="BI66" s="496"/>
      <c r="BJ66" s="496"/>
      <c r="BK66" s="496"/>
      <c r="BL66" s="496"/>
      <c r="BM66" s="496"/>
      <c r="BN66" s="496"/>
      <c r="BO66" s="496"/>
      <c r="BP66" s="496"/>
      <c r="BQ66" s="496"/>
      <c r="BR66" s="496"/>
      <c r="BS66" s="496"/>
      <c r="BT66" s="496"/>
      <c r="BU66" s="496"/>
      <c r="BV66" s="496"/>
      <c r="BW66" s="496"/>
      <c r="BX66" s="496"/>
      <c r="BY66" s="496"/>
      <c r="BZ66" s="496"/>
      <c r="CA66" s="496"/>
    </row>
    <row r="67" spans="1:79">
      <c r="G67" s="496"/>
      <c r="H67" s="496"/>
      <c r="I67" s="496"/>
      <c r="J67" s="496"/>
      <c r="K67" s="496"/>
      <c r="L67" s="496"/>
      <c r="M67" s="496"/>
      <c r="N67" s="496"/>
      <c r="O67" s="496"/>
      <c r="P67" s="496"/>
      <c r="Q67" s="496"/>
      <c r="R67" s="496"/>
      <c r="S67" s="496"/>
      <c r="T67" s="506"/>
      <c r="U67" s="507" t="s">
        <v>91</v>
      </c>
      <c r="V67" s="507" t="s">
        <v>146</v>
      </c>
      <c r="W67" s="507">
        <v>1500.1</v>
      </c>
      <c r="X67" s="496"/>
      <c r="Y67" s="496"/>
      <c r="Z67" s="496"/>
      <c r="AA67" s="977"/>
      <c r="AB67" s="977"/>
      <c r="AC67" s="977"/>
      <c r="AD67" s="977"/>
      <c r="AE67" s="496"/>
      <c r="AF67" s="496"/>
      <c r="AG67" s="496"/>
      <c r="AH67" s="496"/>
      <c r="AI67" s="496"/>
      <c r="AJ67" s="496"/>
      <c r="AK67" s="496"/>
      <c r="AL67" s="496"/>
      <c r="AM67" s="496"/>
      <c r="AN67" s="496"/>
      <c r="AO67" s="496"/>
      <c r="AP67" s="496"/>
      <c r="AQ67" s="496"/>
      <c r="AR67" s="496"/>
      <c r="AS67" s="496"/>
      <c r="AT67" s="496"/>
      <c r="AU67" s="496"/>
      <c r="AV67" s="496"/>
      <c r="AW67" s="496"/>
      <c r="AX67" s="496"/>
      <c r="AY67" s="496"/>
      <c r="AZ67" s="496"/>
      <c r="BA67" s="496"/>
      <c r="BB67" s="496"/>
      <c r="BC67" s="496"/>
      <c r="BD67" s="496"/>
      <c r="BE67" s="496"/>
      <c r="BF67" s="496"/>
      <c r="BG67" s="496"/>
      <c r="BH67" s="496"/>
      <c r="BI67" s="496"/>
      <c r="BJ67" s="496"/>
      <c r="BK67" s="496"/>
      <c r="BL67" s="496"/>
      <c r="BM67" s="496"/>
      <c r="BN67" s="496"/>
      <c r="BO67" s="496"/>
      <c r="BP67" s="496"/>
      <c r="BQ67" s="496"/>
      <c r="BR67" s="496"/>
      <c r="BS67" s="496"/>
      <c r="BT67" s="496"/>
      <c r="BU67" s="496"/>
      <c r="BV67" s="496"/>
      <c r="BW67" s="496"/>
      <c r="BX67" s="496"/>
      <c r="BY67" s="496"/>
      <c r="BZ67" s="496"/>
      <c r="CA67" s="496"/>
    </row>
    <row r="68" spans="1:79">
      <c r="G68" s="496"/>
      <c r="H68" s="496"/>
      <c r="I68" s="496"/>
      <c r="J68" s="496"/>
      <c r="K68" s="496"/>
      <c r="L68" s="496"/>
      <c r="M68" s="496"/>
      <c r="N68" s="496"/>
      <c r="O68" s="496"/>
      <c r="P68" s="496"/>
      <c r="Q68" s="496"/>
      <c r="R68" s="496"/>
      <c r="S68" s="496"/>
      <c r="T68" s="509" t="s">
        <v>17</v>
      </c>
      <c r="U68" s="509">
        <v>3.2839999999999998</v>
      </c>
      <c r="V68" s="509">
        <v>3.448</v>
      </c>
      <c r="W68" s="509">
        <v>3.6120000000000001</v>
      </c>
      <c r="X68" s="496"/>
      <c r="Y68" s="496"/>
      <c r="Z68" s="496"/>
      <c r="AA68" s="496"/>
      <c r="AB68" s="496"/>
      <c r="AC68" s="510"/>
      <c r="AD68" s="496"/>
      <c r="AE68" s="496"/>
      <c r="AF68" s="496"/>
      <c r="AG68" s="496"/>
      <c r="AH68" s="496"/>
      <c r="AI68" s="496"/>
      <c r="AJ68" s="496"/>
      <c r="AK68" s="496"/>
      <c r="AL68" s="496"/>
      <c r="AM68" s="496"/>
      <c r="AN68" s="496"/>
      <c r="AO68" s="496"/>
      <c r="AP68" s="496"/>
      <c r="AQ68" s="496"/>
      <c r="AR68" s="496"/>
      <c r="AS68" s="496"/>
      <c r="AT68" s="496"/>
      <c r="AU68" s="496"/>
      <c r="AV68" s="496"/>
      <c r="AW68" s="496"/>
      <c r="AX68" s="496"/>
      <c r="AY68" s="496"/>
      <c r="AZ68" s="496"/>
      <c r="BA68" s="496"/>
      <c r="BB68" s="496"/>
      <c r="BC68" s="496"/>
      <c r="BD68" s="496"/>
      <c r="BE68" s="496"/>
      <c r="BF68" s="496"/>
      <c r="BG68" s="496"/>
      <c r="BH68" s="496"/>
      <c r="BI68" s="496"/>
      <c r="BJ68" s="496"/>
      <c r="BK68" s="496"/>
      <c r="BL68" s="496"/>
      <c r="BM68" s="496"/>
      <c r="BN68" s="496"/>
      <c r="BO68" s="496"/>
      <c r="BP68" s="496"/>
      <c r="BQ68" s="496"/>
      <c r="BR68" s="496"/>
      <c r="BS68" s="496"/>
      <c r="BT68" s="496"/>
      <c r="BU68" s="496"/>
      <c r="BV68" s="496"/>
      <c r="BW68" s="496"/>
      <c r="BX68" s="496"/>
      <c r="BY68" s="496"/>
      <c r="BZ68" s="496"/>
      <c r="CA68" s="496"/>
    </row>
    <row r="69" spans="1:79">
      <c r="G69" s="496"/>
      <c r="H69" s="496"/>
      <c r="I69" s="496"/>
      <c r="J69" s="496"/>
      <c r="K69" s="496"/>
      <c r="L69" s="496"/>
      <c r="M69" s="496"/>
      <c r="N69" s="496" t="s">
        <v>200</v>
      </c>
      <c r="O69" s="496"/>
      <c r="P69" s="496"/>
      <c r="Q69" s="496"/>
      <c r="R69" s="496"/>
      <c r="S69" s="496"/>
      <c r="T69" s="509" t="s">
        <v>170</v>
      </c>
      <c r="U69" s="509">
        <v>3.3660000000000001</v>
      </c>
      <c r="V69" s="509">
        <v>3.5339999999999998</v>
      </c>
      <c r="W69" s="509">
        <v>3.7030000000000003</v>
      </c>
      <c r="X69" s="496"/>
      <c r="Y69" s="496"/>
      <c r="Z69" s="496"/>
      <c r="AA69" s="511"/>
      <c r="AB69" s="511"/>
      <c r="AC69" s="511"/>
      <c r="AD69" s="511"/>
      <c r="AE69" s="496"/>
      <c r="AF69" s="496"/>
      <c r="AG69" s="496"/>
      <c r="AH69" s="496" t="s">
        <v>17</v>
      </c>
      <c r="AI69" s="496"/>
      <c r="AJ69" s="496"/>
      <c r="AK69" s="496"/>
      <c r="AL69" s="496"/>
      <c r="AM69" s="496"/>
      <c r="AN69" s="496"/>
      <c r="AO69" s="496"/>
      <c r="AP69" s="496"/>
      <c r="AQ69" s="496"/>
      <c r="AR69" s="496"/>
      <c r="AS69" s="496"/>
      <c r="AT69" s="496"/>
      <c r="AU69" s="496"/>
      <c r="AV69" s="496"/>
      <c r="AW69" s="496"/>
      <c r="AX69" s="496"/>
      <c r="AY69" s="496"/>
      <c r="AZ69" s="496"/>
      <c r="BA69" s="496"/>
      <c r="BB69" s="496"/>
      <c r="BC69" s="496"/>
      <c r="BD69" s="496"/>
      <c r="BE69" s="496"/>
      <c r="BF69" s="496"/>
      <c r="BG69" s="496"/>
      <c r="BH69" s="496"/>
      <c r="BI69" s="496"/>
      <c r="BJ69" s="496"/>
      <c r="BK69" s="496"/>
      <c r="BL69" s="496"/>
      <c r="BM69" s="496"/>
      <c r="BN69" s="496"/>
      <c r="BO69" s="496"/>
      <c r="BP69" s="496"/>
      <c r="BQ69" s="496"/>
      <c r="BR69" s="496"/>
      <c r="BS69" s="496"/>
      <c r="BT69" s="496"/>
      <c r="BU69" s="496"/>
      <c r="BV69" s="496"/>
      <c r="BW69" s="496"/>
      <c r="BX69" s="496"/>
      <c r="BY69" s="496"/>
      <c r="BZ69" s="496"/>
      <c r="CA69" s="496"/>
    </row>
    <row r="70" spans="1:79">
      <c r="G70" s="496"/>
      <c r="H70" s="496"/>
      <c r="I70" s="496"/>
      <c r="J70" s="496"/>
      <c r="K70" s="496"/>
      <c r="L70" s="496"/>
      <c r="M70" s="496"/>
      <c r="N70" s="496"/>
      <c r="O70" s="496"/>
      <c r="P70" s="496"/>
      <c r="Q70" s="496"/>
      <c r="R70" s="496"/>
      <c r="S70" s="496"/>
      <c r="T70" s="509">
        <v>7.1</v>
      </c>
      <c r="U70" s="509">
        <v>3.448</v>
      </c>
      <c r="V70" s="509">
        <v>3.62</v>
      </c>
      <c r="W70" s="509">
        <v>3.7930000000000001</v>
      </c>
      <c r="X70" s="496"/>
      <c r="Y70" s="496"/>
      <c r="Z70" s="496"/>
      <c r="AA70" s="511"/>
      <c r="AB70" s="511"/>
      <c r="AC70" s="511"/>
      <c r="AD70" s="511"/>
      <c r="AE70" s="496"/>
      <c r="AF70" s="496"/>
      <c r="AG70" s="496"/>
      <c r="AH70" s="496" t="s">
        <v>170</v>
      </c>
      <c r="AI70" s="496"/>
      <c r="AJ70" s="496"/>
      <c r="AK70" s="496"/>
      <c r="AL70" s="496"/>
      <c r="AM70" s="496"/>
      <c r="AN70" s="496"/>
      <c r="AO70" s="496"/>
      <c r="AP70" s="496"/>
      <c r="AQ70" s="496"/>
      <c r="AR70" s="496"/>
      <c r="AS70" s="496"/>
      <c r="AT70" s="496"/>
      <c r="AU70" s="496"/>
      <c r="AV70" s="496"/>
      <c r="AW70" s="496"/>
      <c r="AX70" s="496"/>
      <c r="AY70" s="496"/>
      <c r="AZ70" s="496"/>
      <c r="BA70" s="496"/>
      <c r="BB70" s="496"/>
      <c r="BC70" s="496"/>
      <c r="BD70" s="496"/>
      <c r="BE70" s="496"/>
      <c r="BF70" s="496"/>
      <c r="BG70" s="496"/>
      <c r="BH70" s="496"/>
      <c r="BI70" s="496"/>
      <c r="BJ70" s="496"/>
      <c r="BK70" s="496"/>
      <c r="BL70" s="496"/>
      <c r="BM70" s="496"/>
      <c r="BN70" s="496"/>
      <c r="BO70" s="496"/>
      <c r="BP70" s="496"/>
      <c r="BQ70" s="496"/>
      <c r="BR70" s="496"/>
      <c r="BS70" s="496"/>
      <c r="BT70" s="496"/>
      <c r="BU70" s="496"/>
      <c r="BV70" s="496"/>
      <c r="BW70" s="496"/>
      <c r="BX70" s="496"/>
      <c r="BY70" s="496"/>
      <c r="BZ70" s="496"/>
      <c r="CA70" s="496"/>
    </row>
    <row r="71" spans="1:79">
      <c r="G71" s="496"/>
      <c r="H71" s="496"/>
      <c r="I71" s="496"/>
      <c r="J71" s="496"/>
      <c r="K71" s="496"/>
      <c r="L71" s="496"/>
      <c r="M71" s="496"/>
      <c r="N71" s="496" t="s">
        <v>17</v>
      </c>
      <c r="O71" s="496"/>
      <c r="P71" s="496"/>
      <c r="Q71" s="496"/>
      <c r="R71" s="496"/>
      <c r="S71" s="496"/>
      <c r="T71" s="496"/>
      <c r="U71" s="496"/>
      <c r="V71" s="496"/>
      <c r="W71" s="496"/>
      <c r="X71" s="496"/>
      <c r="Y71" s="496"/>
      <c r="Z71" s="496"/>
      <c r="AA71" s="511"/>
      <c r="AB71" s="511"/>
      <c r="AC71" s="511"/>
      <c r="AD71" s="511"/>
      <c r="AE71" s="496"/>
      <c r="AF71" s="496"/>
      <c r="AG71" s="496"/>
      <c r="AH71" s="496" t="s">
        <v>195</v>
      </c>
      <c r="AI71" s="496"/>
      <c r="AJ71" s="496"/>
      <c r="AK71" s="496"/>
      <c r="AL71" s="496"/>
      <c r="AM71" s="496"/>
      <c r="AN71" s="496"/>
      <c r="AO71" s="496"/>
      <c r="AP71" s="496"/>
      <c r="AQ71" s="496"/>
      <c r="AR71" s="496"/>
      <c r="AS71" s="496"/>
      <c r="AT71" s="496"/>
      <c r="AU71" s="496"/>
      <c r="AV71" s="496"/>
      <c r="AW71" s="496"/>
      <c r="AX71" s="496"/>
      <c r="AY71" s="496"/>
      <c r="AZ71" s="496"/>
      <c r="BA71" s="496"/>
      <c r="BB71" s="496"/>
      <c r="BC71" s="496"/>
      <c r="BD71" s="496"/>
      <c r="BE71" s="496"/>
      <c r="BF71" s="496"/>
      <c r="BG71" s="496"/>
      <c r="BH71" s="496"/>
      <c r="BI71" s="496"/>
      <c r="BJ71" s="496"/>
      <c r="BK71" s="496"/>
      <c r="BL71" s="496"/>
      <c r="BM71" s="496"/>
      <c r="BN71" s="496"/>
      <c r="BO71" s="496"/>
      <c r="BP71" s="496"/>
      <c r="BQ71" s="496"/>
      <c r="BR71" s="496"/>
      <c r="BS71" s="496"/>
      <c r="BT71" s="496"/>
      <c r="BU71" s="496"/>
      <c r="BV71" s="496"/>
      <c r="BW71" s="496"/>
      <c r="BX71" s="496"/>
      <c r="BY71" s="496"/>
      <c r="BZ71" s="496"/>
      <c r="CA71" s="496"/>
    </row>
    <row r="72" spans="1:79">
      <c r="G72" s="496"/>
      <c r="H72" s="496"/>
      <c r="I72" s="496"/>
      <c r="J72" s="496"/>
      <c r="K72" s="496"/>
      <c r="L72" s="496"/>
      <c r="M72" s="496"/>
      <c r="N72" s="496"/>
      <c r="O72" s="496"/>
      <c r="P72" s="496"/>
      <c r="Q72" s="496"/>
      <c r="R72" s="496"/>
      <c r="S72" s="496"/>
      <c r="T72" s="496"/>
      <c r="U72" s="496"/>
      <c r="V72" s="496"/>
      <c r="W72" s="496"/>
      <c r="X72" s="496"/>
      <c r="Y72" s="496"/>
      <c r="Z72" s="496"/>
      <c r="AA72" s="496"/>
      <c r="AB72" s="511"/>
      <c r="AC72" s="511"/>
      <c r="AD72" s="511"/>
      <c r="AE72" s="496"/>
      <c r="AF72" s="496"/>
      <c r="AG72" s="496"/>
      <c r="AH72" s="496"/>
      <c r="AI72" s="496"/>
      <c r="AJ72" s="496"/>
      <c r="AK72" s="496"/>
      <c r="AL72" s="496"/>
      <c r="AM72" s="496"/>
      <c r="AN72" s="496"/>
      <c r="AO72" s="496"/>
      <c r="AP72" s="496"/>
      <c r="AQ72" s="496"/>
      <c r="AR72" s="496"/>
      <c r="AS72" s="496"/>
      <c r="AT72" s="496"/>
      <c r="AU72" s="496"/>
      <c r="AV72" s="496"/>
      <c r="AW72" s="496"/>
      <c r="AX72" s="496"/>
      <c r="AY72" s="496"/>
      <c r="AZ72" s="496"/>
      <c r="BA72" s="496"/>
      <c r="BB72" s="496"/>
      <c r="BC72" s="496"/>
      <c r="BD72" s="496"/>
      <c r="BE72" s="496"/>
      <c r="BF72" s="496"/>
      <c r="BG72" s="496"/>
      <c r="BH72" s="496"/>
      <c r="BI72" s="496"/>
      <c r="BJ72" s="496"/>
      <c r="BK72" s="496"/>
      <c r="BL72" s="496"/>
      <c r="BM72" s="496"/>
      <c r="BN72" s="496"/>
      <c r="BO72" s="496"/>
      <c r="BP72" s="496"/>
      <c r="BQ72" s="496"/>
      <c r="BR72" s="496"/>
      <c r="BS72" s="496"/>
      <c r="BT72" s="496"/>
      <c r="BU72" s="496"/>
      <c r="BV72" s="496"/>
      <c r="BW72" s="496"/>
      <c r="BX72" s="496"/>
      <c r="BY72" s="496"/>
      <c r="BZ72" s="496"/>
      <c r="CA72" s="496"/>
    </row>
    <row r="73" spans="1:79">
      <c r="A73" s="28"/>
      <c r="B73" s="28"/>
      <c r="C73" s="28"/>
      <c r="D73" s="28"/>
      <c r="E73" s="28"/>
      <c r="F73" s="28"/>
      <c r="G73" s="496"/>
      <c r="H73" s="496"/>
      <c r="I73" s="496"/>
      <c r="J73" s="496"/>
      <c r="K73" s="496"/>
      <c r="L73" s="496"/>
      <c r="M73" s="496"/>
      <c r="N73" s="496"/>
      <c r="O73" s="496"/>
      <c r="P73" s="496"/>
      <c r="Q73" s="496"/>
      <c r="R73" s="496"/>
      <c r="S73" s="496"/>
      <c r="T73" s="496"/>
      <c r="U73" s="496"/>
      <c r="V73" s="496"/>
      <c r="W73" s="496"/>
      <c r="X73" s="496"/>
      <c r="Y73" s="496"/>
      <c r="Z73" s="496"/>
      <c r="AA73" s="496"/>
      <c r="AB73" s="496"/>
      <c r="AC73" s="496"/>
      <c r="AD73" s="496"/>
      <c r="AE73" s="496"/>
      <c r="AF73" s="496"/>
      <c r="AG73" s="496"/>
      <c r="AH73" s="496"/>
      <c r="AI73" s="496"/>
      <c r="AJ73" s="496"/>
      <c r="AK73" s="496"/>
      <c r="AL73" s="496"/>
      <c r="AM73" s="496"/>
      <c r="AN73" s="496"/>
      <c r="AO73" s="496"/>
      <c r="AP73" s="496"/>
      <c r="AQ73" s="496"/>
      <c r="AR73" s="496"/>
      <c r="AS73" s="496"/>
      <c r="AT73" s="496"/>
      <c r="AU73" s="496"/>
      <c r="AV73" s="496"/>
      <c r="AW73" s="496"/>
      <c r="AX73" s="496"/>
      <c r="AY73" s="496"/>
      <c r="AZ73" s="496"/>
      <c r="BA73" s="496"/>
      <c r="BB73" s="496"/>
      <c r="BC73" s="496"/>
      <c r="BD73" s="496"/>
      <c r="BE73" s="496"/>
      <c r="BF73" s="496"/>
      <c r="BG73" s="496"/>
      <c r="BH73" s="496"/>
      <c r="BI73" s="496"/>
      <c r="BJ73" s="496"/>
      <c r="BK73" s="496"/>
      <c r="BL73" s="496"/>
      <c r="BM73" s="496"/>
      <c r="BN73" s="496"/>
      <c r="BO73" s="496"/>
      <c r="BP73" s="496"/>
      <c r="BQ73" s="496"/>
      <c r="BR73" s="496"/>
      <c r="BS73" s="496"/>
      <c r="BT73" s="496"/>
      <c r="BU73" s="496"/>
      <c r="BV73" s="496"/>
      <c r="BW73" s="496"/>
      <c r="BX73" s="496"/>
      <c r="BY73" s="496"/>
      <c r="BZ73" s="496"/>
      <c r="CA73" s="496"/>
    </row>
    <row r="74" spans="1:79">
      <c r="A74" s="28"/>
      <c r="B74" s="28"/>
      <c r="C74" s="28"/>
      <c r="D74" s="28"/>
      <c r="E74" s="28"/>
      <c r="F74" s="28"/>
      <c r="G74" s="496"/>
      <c r="H74" s="496"/>
      <c r="I74" s="496"/>
      <c r="J74" s="496"/>
      <c r="K74" s="496"/>
      <c r="L74" s="496"/>
      <c r="M74" s="496"/>
      <c r="N74" s="496"/>
      <c r="O74" s="496"/>
      <c r="P74" s="496"/>
      <c r="Q74" s="496"/>
      <c r="R74" s="496"/>
      <c r="S74" s="496"/>
      <c r="T74" s="496"/>
      <c r="U74" s="496"/>
      <c r="V74" s="496"/>
      <c r="W74" s="496"/>
      <c r="X74" s="496"/>
      <c r="Y74" s="496"/>
      <c r="Z74" s="496"/>
      <c r="AA74" s="496"/>
      <c r="AB74" s="496"/>
      <c r="AC74" s="496"/>
      <c r="AD74" s="496"/>
      <c r="AE74" s="496"/>
      <c r="AF74" s="496"/>
      <c r="AG74" s="496"/>
      <c r="AH74" s="496"/>
      <c r="AI74" s="496"/>
      <c r="AJ74" s="496"/>
      <c r="AK74" s="496"/>
      <c r="AL74" s="496"/>
      <c r="AM74" s="496"/>
      <c r="AN74" s="496"/>
      <c r="AO74" s="496"/>
      <c r="AP74" s="496"/>
      <c r="AQ74" s="496"/>
      <c r="AR74" s="496"/>
      <c r="AS74" s="496"/>
      <c r="AT74" s="496"/>
      <c r="AU74" s="496"/>
      <c r="AV74" s="496"/>
      <c r="AW74" s="496"/>
      <c r="AX74" s="496"/>
      <c r="AY74" s="496"/>
      <c r="AZ74" s="496"/>
      <c r="BA74" s="496"/>
      <c r="BB74" s="496"/>
      <c r="BC74" s="496"/>
      <c r="BD74" s="496"/>
      <c r="BE74" s="496"/>
      <c r="BF74" s="496"/>
      <c r="BG74" s="496"/>
      <c r="BH74" s="496"/>
      <c r="BI74" s="496"/>
      <c r="BJ74" s="496"/>
      <c r="BK74" s="496"/>
      <c r="BL74" s="496"/>
      <c r="BM74" s="496"/>
      <c r="BN74" s="496"/>
      <c r="BO74" s="496"/>
      <c r="BP74" s="496"/>
      <c r="BQ74" s="496"/>
      <c r="BR74" s="496"/>
      <c r="BS74" s="496"/>
      <c r="BT74" s="496"/>
      <c r="BU74" s="496"/>
      <c r="BV74" s="496"/>
      <c r="BW74" s="496"/>
      <c r="BX74" s="496"/>
      <c r="BY74" s="496"/>
      <c r="BZ74" s="496"/>
      <c r="CA74" s="496"/>
    </row>
    <row r="75" spans="1:79" ht="37.5">
      <c r="A75" s="430"/>
      <c r="B75" s="425"/>
      <c r="C75" s="425"/>
      <c r="D75" s="425"/>
      <c r="E75" s="425"/>
      <c r="F75" s="150"/>
      <c r="G75" s="496"/>
      <c r="H75" s="496"/>
      <c r="I75" s="496"/>
      <c r="J75" s="496"/>
      <c r="K75" s="496"/>
      <c r="L75" s="496"/>
      <c r="M75" s="496"/>
      <c r="N75" s="496"/>
      <c r="O75" s="496"/>
      <c r="P75" s="496"/>
      <c r="Q75" s="496"/>
      <c r="R75" s="496"/>
      <c r="S75" s="496"/>
      <c r="T75" s="496" t="s">
        <v>201</v>
      </c>
      <c r="U75" s="496"/>
      <c r="V75" s="496"/>
      <c r="W75" s="496"/>
      <c r="X75" s="496"/>
      <c r="Y75" s="496"/>
      <c r="Z75" s="496"/>
      <c r="AA75" s="496"/>
      <c r="AB75" s="496"/>
      <c r="AC75" s="496"/>
      <c r="AD75" s="496"/>
      <c r="AE75" s="496"/>
      <c r="AF75" s="496"/>
      <c r="AG75" s="496"/>
      <c r="AH75" s="496"/>
      <c r="AI75" s="496"/>
      <c r="AJ75" s="496"/>
      <c r="AK75" s="496"/>
      <c r="AL75" s="496"/>
      <c r="AM75" s="496"/>
      <c r="AN75" s="496"/>
      <c r="AO75" s="496"/>
      <c r="AP75" s="496"/>
      <c r="AQ75" s="496"/>
      <c r="AR75" s="496"/>
      <c r="AS75" s="496"/>
      <c r="AT75" s="496"/>
      <c r="AU75" s="496"/>
      <c r="AV75" s="496"/>
      <c r="AW75" s="496"/>
      <c r="AX75" s="496"/>
      <c r="AY75" s="496"/>
      <c r="AZ75" s="496"/>
      <c r="BA75" s="496"/>
      <c r="BB75" s="496"/>
      <c r="BC75" s="496"/>
      <c r="BD75" s="496"/>
      <c r="BE75" s="496"/>
      <c r="BF75" s="496"/>
      <c r="BG75" s="496"/>
      <c r="BH75" s="496"/>
      <c r="BI75" s="496"/>
      <c r="BJ75" s="496"/>
      <c r="BK75" s="496"/>
      <c r="BL75" s="496"/>
      <c r="BM75" s="496"/>
      <c r="BN75" s="496"/>
      <c r="BO75" s="496"/>
      <c r="BP75" s="496"/>
      <c r="BQ75" s="496"/>
      <c r="BR75" s="496"/>
      <c r="BS75" s="496"/>
      <c r="BT75" s="496"/>
      <c r="BU75" s="496"/>
      <c r="BV75" s="496"/>
      <c r="BW75" s="496"/>
      <c r="BX75" s="496"/>
      <c r="BY75" s="496"/>
      <c r="BZ75" s="496"/>
      <c r="CA75" s="496"/>
    </row>
    <row r="76" spans="1:79" ht="23.25">
      <c r="A76" s="129"/>
      <c r="B76" s="151"/>
      <c r="C76" s="151"/>
      <c r="D76" s="151"/>
      <c r="E76" s="151"/>
      <c r="F76" s="151"/>
      <c r="G76" s="496"/>
      <c r="H76" s="496"/>
      <c r="I76" s="496"/>
      <c r="J76" s="496"/>
      <c r="K76" s="496"/>
      <c r="L76" s="496"/>
      <c r="M76" s="496"/>
      <c r="N76" s="496"/>
      <c r="O76" s="496"/>
      <c r="P76" s="496"/>
      <c r="Q76" s="496"/>
      <c r="R76" s="496"/>
      <c r="S76" s="496"/>
      <c r="T76" s="496" t="s">
        <v>336</v>
      </c>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496"/>
      <c r="AR76" s="496"/>
      <c r="AS76" s="496"/>
      <c r="AT76" s="496"/>
      <c r="AU76" s="496"/>
      <c r="AV76" s="496"/>
      <c r="AW76" s="496"/>
      <c r="AX76" s="496"/>
      <c r="AY76" s="496"/>
      <c r="AZ76" s="496"/>
      <c r="BA76" s="496"/>
      <c r="BB76" s="496"/>
      <c r="BC76" s="496"/>
      <c r="BD76" s="496"/>
      <c r="BE76" s="496"/>
      <c r="BF76" s="496"/>
      <c r="BG76" s="496"/>
      <c r="BH76" s="496"/>
      <c r="BI76" s="496"/>
      <c r="BJ76" s="496"/>
      <c r="BK76" s="496"/>
      <c r="BL76" s="496"/>
      <c r="BM76" s="496"/>
      <c r="BN76" s="496"/>
      <c r="BO76" s="496"/>
      <c r="BP76" s="496"/>
      <c r="BQ76" s="496"/>
      <c r="BR76" s="496"/>
      <c r="BS76" s="496"/>
      <c r="BT76" s="496"/>
      <c r="BU76" s="496"/>
      <c r="BV76" s="496"/>
      <c r="BW76" s="496"/>
      <c r="BX76" s="496"/>
      <c r="BY76" s="496"/>
      <c r="BZ76" s="496"/>
      <c r="CA76" s="496"/>
    </row>
    <row r="77" spans="1:79">
      <c r="A77" s="86"/>
      <c r="B77" s="86"/>
      <c r="C77" s="86"/>
      <c r="D77" s="86"/>
      <c r="E77" s="86"/>
      <c r="F77" s="86"/>
      <c r="G77" s="496"/>
      <c r="H77" s="496"/>
      <c r="I77" s="496"/>
      <c r="J77" s="496"/>
      <c r="K77" s="496"/>
      <c r="L77" s="496"/>
      <c r="M77" s="496"/>
      <c r="N77" s="496"/>
      <c r="O77" s="496"/>
      <c r="P77" s="496"/>
      <c r="Q77" s="496"/>
      <c r="R77" s="496"/>
      <c r="S77" s="496"/>
      <c r="T77" s="496" t="s">
        <v>337</v>
      </c>
      <c r="U77" s="496"/>
      <c r="V77" s="496"/>
      <c r="W77" s="496"/>
      <c r="X77" s="496"/>
      <c r="Y77" s="496"/>
      <c r="Z77" s="496"/>
      <c r="AA77" s="496"/>
      <c r="AB77" s="496"/>
      <c r="AC77" s="496"/>
      <c r="AD77" s="496"/>
      <c r="AE77" s="496"/>
      <c r="AF77" s="496"/>
      <c r="AG77" s="496"/>
      <c r="AH77" s="496"/>
      <c r="AI77" s="496"/>
      <c r="AJ77" s="496"/>
      <c r="AK77" s="496"/>
      <c r="AL77" s="496"/>
      <c r="AM77" s="496"/>
      <c r="AN77" s="496"/>
      <c r="AO77" s="496"/>
      <c r="AP77" s="496"/>
      <c r="AQ77" s="496"/>
      <c r="AR77" s="496"/>
      <c r="AS77" s="496"/>
      <c r="AT77" s="496"/>
      <c r="AU77" s="496"/>
      <c r="AV77" s="496"/>
      <c r="AW77" s="496"/>
      <c r="AX77" s="496"/>
      <c r="AY77" s="496"/>
      <c r="AZ77" s="496"/>
      <c r="BA77" s="496"/>
      <c r="BB77" s="496"/>
      <c r="BC77" s="496"/>
      <c r="BD77" s="496"/>
      <c r="BE77" s="496"/>
      <c r="BF77" s="496"/>
      <c r="BG77" s="496"/>
      <c r="BH77" s="496"/>
      <c r="BI77" s="496"/>
      <c r="BJ77" s="496"/>
      <c r="BK77" s="496"/>
      <c r="BL77" s="496"/>
      <c r="BM77" s="496"/>
      <c r="BN77" s="496"/>
      <c r="BO77" s="496"/>
      <c r="BP77" s="496"/>
      <c r="BQ77" s="496"/>
      <c r="BR77" s="496"/>
      <c r="BS77" s="496"/>
      <c r="BT77" s="496"/>
      <c r="BU77" s="496"/>
      <c r="BV77" s="496"/>
      <c r="BW77" s="496"/>
      <c r="BX77" s="496"/>
      <c r="BY77" s="496"/>
      <c r="BZ77" s="496"/>
      <c r="CA77" s="496"/>
    </row>
    <row r="78" spans="1:79" ht="17.25" customHeight="1">
      <c r="A78" s="131"/>
      <c r="B78" s="132"/>
      <c r="C78" s="132"/>
      <c r="D78" s="132"/>
      <c r="E78" s="132"/>
      <c r="F78" s="132"/>
      <c r="G78" s="496"/>
      <c r="H78" s="496"/>
      <c r="I78" s="496"/>
      <c r="J78" s="496"/>
      <c r="K78" s="496"/>
      <c r="L78" s="496"/>
      <c r="M78" s="496"/>
      <c r="N78" s="496"/>
      <c r="O78" s="496"/>
      <c r="P78" s="496"/>
      <c r="Q78" s="496"/>
      <c r="R78" s="496"/>
      <c r="S78" s="496"/>
      <c r="T78" s="496" t="s">
        <v>338</v>
      </c>
      <c r="U78" s="496"/>
      <c r="V78" s="496"/>
      <c r="W78" s="496"/>
      <c r="X78" s="49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6"/>
      <c r="AY78" s="496"/>
      <c r="AZ78" s="496"/>
      <c r="BA78" s="496"/>
      <c r="BB78" s="496"/>
      <c r="BC78" s="496"/>
      <c r="BD78" s="496"/>
      <c r="BE78" s="496"/>
      <c r="BF78" s="496"/>
      <c r="BG78" s="496"/>
      <c r="BH78" s="496"/>
      <c r="BI78" s="496"/>
      <c r="BJ78" s="496"/>
      <c r="BK78" s="496"/>
      <c r="BL78" s="496"/>
      <c r="BM78" s="496"/>
      <c r="BN78" s="496"/>
      <c r="BO78" s="496"/>
      <c r="BP78" s="496"/>
      <c r="BQ78" s="496"/>
      <c r="BR78" s="496"/>
      <c r="BS78" s="496"/>
      <c r="BT78" s="496"/>
      <c r="BU78" s="496"/>
      <c r="BV78" s="496"/>
      <c r="BW78" s="496"/>
      <c r="BX78" s="496"/>
      <c r="BY78" s="496"/>
      <c r="BZ78" s="496"/>
      <c r="CA78" s="496"/>
    </row>
    <row r="79" spans="1:79" ht="15.75">
      <c r="A79" s="427"/>
      <c r="B79" s="132"/>
      <c r="C79" s="132"/>
      <c r="D79" s="132"/>
      <c r="E79" s="132"/>
      <c r="F79" s="132"/>
      <c r="G79" s="496"/>
      <c r="H79" s="496"/>
      <c r="I79" s="496"/>
      <c r="J79" s="496"/>
      <c r="K79" s="496"/>
      <c r="L79" s="496"/>
      <c r="M79" s="496"/>
      <c r="N79" s="496"/>
      <c r="O79" s="496"/>
      <c r="P79" s="496"/>
      <c r="Q79" s="496"/>
      <c r="R79" s="496"/>
      <c r="S79" s="496"/>
      <c r="T79" s="496" t="s">
        <v>339</v>
      </c>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496"/>
      <c r="AV79" s="496"/>
      <c r="AW79" s="496"/>
      <c r="AX79" s="496"/>
      <c r="AY79" s="496"/>
      <c r="AZ79" s="496"/>
      <c r="BA79" s="496"/>
      <c r="BB79" s="496"/>
      <c r="BC79" s="496"/>
      <c r="BD79" s="496"/>
      <c r="BE79" s="496"/>
      <c r="BF79" s="496"/>
      <c r="BG79" s="496"/>
      <c r="BH79" s="496"/>
      <c r="BI79" s="496"/>
      <c r="BJ79" s="496"/>
      <c r="BK79" s="496"/>
      <c r="BL79" s="496"/>
      <c r="BM79" s="496"/>
      <c r="BN79" s="496"/>
      <c r="BO79" s="496"/>
      <c r="BP79" s="496"/>
      <c r="BQ79" s="496"/>
      <c r="BR79" s="496"/>
      <c r="BS79" s="496"/>
      <c r="BT79" s="496"/>
      <c r="BU79" s="496"/>
      <c r="BV79" s="496"/>
      <c r="BW79" s="496"/>
      <c r="BX79" s="496"/>
      <c r="BY79" s="496"/>
      <c r="BZ79" s="496"/>
      <c r="CA79" s="496"/>
    </row>
    <row r="80" spans="1:79" ht="15.75">
      <c r="A80" s="131"/>
      <c r="B80" s="132"/>
      <c r="C80" s="132"/>
      <c r="D80" s="132"/>
      <c r="E80" s="132"/>
      <c r="F80" s="132"/>
      <c r="G80" s="496"/>
      <c r="H80" s="496"/>
      <c r="I80" s="496"/>
      <c r="J80" s="496"/>
      <c r="K80" s="496"/>
      <c r="L80" s="496"/>
      <c r="M80" s="496"/>
      <c r="N80" s="496"/>
      <c r="O80" s="496"/>
      <c r="P80" s="496"/>
      <c r="Q80" s="496"/>
      <c r="R80" s="496"/>
      <c r="S80" s="496"/>
      <c r="T80" s="498"/>
      <c r="U80" s="496"/>
      <c r="V80" s="496"/>
      <c r="W80" s="496"/>
      <c r="X80" s="496"/>
      <c r="Y80" s="496"/>
      <c r="Z80" s="496"/>
      <c r="AA80" s="496"/>
      <c r="AB80" s="496"/>
      <c r="AC80" s="496"/>
      <c r="AD80" s="496"/>
      <c r="AE80" s="496"/>
      <c r="AF80" s="496"/>
      <c r="AG80" s="496"/>
      <c r="AH80" s="496"/>
      <c r="AI80" s="496"/>
      <c r="AJ80" s="496"/>
      <c r="AK80" s="496"/>
      <c r="AL80" s="496"/>
      <c r="AM80" s="496"/>
      <c r="AN80" s="496"/>
      <c r="AO80" s="496"/>
      <c r="AP80" s="496"/>
      <c r="AQ80" s="496"/>
      <c r="AR80" s="496"/>
      <c r="AS80" s="496"/>
      <c r="AT80" s="496"/>
      <c r="AU80" s="496"/>
      <c r="AV80" s="496"/>
      <c r="AW80" s="496"/>
      <c r="AX80" s="496"/>
      <c r="AY80" s="496"/>
      <c r="AZ80" s="496"/>
      <c r="BA80" s="496"/>
      <c r="BB80" s="496"/>
      <c r="BC80" s="496"/>
      <c r="BD80" s="496"/>
      <c r="BE80" s="496"/>
      <c r="BF80" s="496"/>
      <c r="BG80" s="496"/>
      <c r="BH80" s="496"/>
      <c r="BI80" s="496"/>
      <c r="BJ80" s="496"/>
      <c r="BK80" s="496"/>
      <c r="BL80" s="496"/>
      <c r="BM80" s="496"/>
      <c r="BN80" s="496"/>
      <c r="BO80" s="496"/>
      <c r="BP80" s="496"/>
      <c r="BQ80" s="496"/>
      <c r="BR80" s="496"/>
      <c r="BS80" s="496"/>
      <c r="BT80" s="496"/>
      <c r="BU80" s="496"/>
      <c r="BV80" s="496"/>
      <c r="BW80" s="496"/>
      <c r="BX80" s="496"/>
      <c r="BY80" s="496"/>
      <c r="BZ80" s="496"/>
      <c r="CA80" s="496"/>
    </row>
    <row r="81" spans="1:79">
      <c r="A81" s="86"/>
      <c r="B81" s="86"/>
      <c r="C81" s="86"/>
      <c r="D81" s="86"/>
      <c r="E81" s="86"/>
      <c r="F81" s="86"/>
      <c r="G81" s="496"/>
      <c r="H81" s="496"/>
      <c r="I81" s="496"/>
      <c r="J81" s="496"/>
      <c r="K81" s="496"/>
      <c r="L81" s="496"/>
      <c r="M81" s="496"/>
      <c r="N81" s="496"/>
      <c r="O81" s="496"/>
      <c r="P81" s="496"/>
      <c r="Q81" s="496"/>
      <c r="R81" s="496"/>
      <c r="S81" s="496"/>
      <c r="T81" s="496"/>
      <c r="U81" s="496"/>
      <c r="V81" s="496"/>
      <c r="W81" s="496"/>
      <c r="X81" s="496"/>
      <c r="Y81" s="496"/>
      <c r="Z81" s="496"/>
      <c r="AA81" s="496"/>
      <c r="AB81" s="496"/>
      <c r="AC81" s="496"/>
      <c r="AD81" s="496"/>
      <c r="AE81" s="496"/>
      <c r="AF81" s="496"/>
      <c r="AG81" s="496"/>
      <c r="AH81" s="496"/>
      <c r="AI81" s="496"/>
      <c r="AJ81" s="496"/>
      <c r="AK81" s="496"/>
      <c r="AL81" s="496"/>
      <c r="AM81" s="496"/>
      <c r="AN81" s="496"/>
      <c r="AO81" s="496"/>
      <c r="AP81" s="496"/>
      <c r="AQ81" s="496"/>
      <c r="AR81" s="496"/>
      <c r="AS81" s="496"/>
      <c r="AT81" s="496"/>
      <c r="AU81" s="496"/>
      <c r="AV81" s="496"/>
      <c r="AW81" s="496"/>
      <c r="AX81" s="496"/>
      <c r="AY81" s="496"/>
      <c r="AZ81" s="496"/>
      <c r="BA81" s="496"/>
      <c r="BB81" s="496"/>
      <c r="BC81" s="496"/>
      <c r="BD81" s="496"/>
      <c r="BE81" s="496"/>
      <c r="BF81" s="496"/>
      <c r="BG81" s="496"/>
      <c r="BH81" s="496"/>
      <c r="BI81" s="496"/>
      <c r="BJ81" s="496"/>
      <c r="BK81" s="496"/>
      <c r="BL81" s="496"/>
      <c r="BM81" s="496"/>
      <c r="BN81" s="496"/>
      <c r="BO81" s="496"/>
      <c r="BP81" s="496"/>
      <c r="BQ81" s="496"/>
      <c r="BR81" s="496"/>
      <c r="BS81" s="496"/>
      <c r="BT81" s="496"/>
      <c r="BU81" s="496"/>
      <c r="BV81" s="496"/>
      <c r="BW81" s="496"/>
      <c r="BX81" s="496"/>
      <c r="BY81" s="496"/>
      <c r="BZ81" s="496"/>
      <c r="CA81" s="496"/>
    </row>
    <row r="82" spans="1:79" ht="23.25">
      <c r="A82" s="129"/>
      <c r="B82" s="151"/>
      <c r="C82" s="151"/>
      <c r="D82" s="151"/>
      <c r="E82" s="151"/>
      <c r="F82" s="151"/>
      <c r="G82" s="496"/>
      <c r="H82" s="496"/>
      <c r="I82" s="496"/>
      <c r="J82" s="496"/>
      <c r="K82" s="496"/>
      <c r="L82" s="496"/>
      <c r="M82" s="496"/>
      <c r="N82" s="496"/>
      <c r="O82" s="496"/>
      <c r="P82" s="512"/>
      <c r="Q82" s="512"/>
      <c r="R82" s="496" t="s">
        <v>203</v>
      </c>
      <c r="S82" s="496" t="s">
        <v>204</v>
      </c>
      <c r="T82" s="496" t="s">
        <v>41</v>
      </c>
      <c r="U82" s="496" t="s">
        <v>205</v>
      </c>
      <c r="V82" s="496" t="s">
        <v>206</v>
      </c>
      <c r="W82" s="496" t="s">
        <v>207</v>
      </c>
      <c r="X82" s="496" t="s">
        <v>208</v>
      </c>
      <c r="Y82" s="496" t="s">
        <v>209</v>
      </c>
      <c r="Z82" s="496"/>
      <c r="AA82" s="496"/>
      <c r="AB82" s="496"/>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6"/>
      <c r="AY82" s="496"/>
      <c r="AZ82" s="496"/>
      <c r="BA82" s="496"/>
      <c r="BB82" s="496"/>
      <c r="BC82" s="496"/>
      <c r="BD82" s="496"/>
      <c r="BE82" s="496"/>
      <c r="BF82" s="496"/>
      <c r="BG82" s="496"/>
      <c r="BH82" s="496"/>
      <c r="BI82" s="496"/>
      <c r="BJ82" s="496"/>
      <c r="BK82" s="496"/>
      <c r="BL82" s="496"/>
      <c r="BM82" s="496"/>
      <c r="BN82" s="496"/>
      <c r="BO82" s="496"/>
      <c r="BP82" s="496"/>
      <c r="BQ82" s="496"/>
      <c r="BR82" s="496"/>
      <c r="BS82" s="496"/>
      <c r="BT82" s="496"/>
      <c r="BU82" s="496"/>
      <c r="BV82" s="496"/>
      <c r="BW82" s="496"/>
      <c r="BX82" s="496"/>
      <c r="BY82" s="496"/>
      <c r="BZ82" s="496"/>
      <c r="CA82" s="496"/>
    </row>
    <row r="83" spans="1:79">
      <c r="A83" s="86"/>
      <c r="B83" s="86"/>
      <c r="C83" s="86"/>
      <c r="D83" s="86"/>
      <c r="E83" s="86"/>
      <c r="F83" s="86"/>
      <c r="G83" s="496"/>
      <c r="H83" s="496"/>
      <c r="I83" s="496"/>
      <c r="J83" s="496"/>
      <c r="K83" s="496"/>
      <c r="L83" s="496"/>
      <c r="M83" s="496"/>
      <c r="N83" s="496"/>
      <c r="O83" s="496"/>
      <c r="P83" s="512"/>
      <c r="Q83" s="512"/>
      <c r="R83" s="496" t="str">
        <f>IF(OR(I43="&lt;1000",I43="1000-1500"),"&lt;=1500","&gt;1500")</f>
        <v>&gt;1500</v>
      </c>
      <c r="S83" s="496" t="str">
        <f>IF(B5=T75,U82,IF(B5=T76,V82,IF(B5=T77,W82,IF(B5=T78,X82,IF(B5=T79,Y82,0)))))</f>
        <v>&gt;1&lt;=2</v>
      </c>
      <c r="T83" s="496" t="s">
        <v>210</v>
      </c>
      <c r="U83" s="496">
        <v>0.26</v>
      </c>
      <c r="V83" s="496">
        <v>0.45</v>
      </c>
      <c r="W83" s="496">
        <v>0.57000000000000006</v>
      </c>
      <c r="X83" s="496">
        <v>0.75</v>
      </c>
      <c r="Y83" s="496">
        <v>1</v>
      </c>
      <c r="Z83" s="496"/>
      <c r="AA83" s="496"/>
      <c r="AB83" s="496"/>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6"/>
      <c r="AY83" s="496"/>
      <c r="AZ83" s="496"/>
      <c r="BA83" s="496"/>
      <c r="BB83" s="496"/>
      <c r="BC83" s="496"/>
      <c r="BD83" s="496"/>
      <c r="BE83" s="496"/>
      <c r="BF83" s="496"/>
      <c r="BG83" s="496"/>
      <c r="BH83" s="496"/>
      <c r="BI83" s="496"/>
      <c r="BJ83" s="496"/>
      <c r="BK83" s="496"/>
      <c r="BL83" s="496"/>
      <c r="BM83" s="496"/>
      <c r="BN83" s="496"/>
      <c r="BO83" s="496"/>
      <c r="BP83" s="496"/>
      <c r="BQ83" s="496"/>
      <c r="BR83" s="496"/>
      <c r="BS83" s="496"/>
      <c r="BT83" s="496"/>
      <c r="BU83" s="496"/>
      <c r="BV83" s="496"/>
      <c r="BW83" s="496"/>
      <c r="BX83" s="496"/>
      <c r="BY83" s="496"/>
      <c r="BZ83" s="496"/>
      <c r="CA83" s="496"/>
    </row>
    <row r="84" spans="1:79" ht="15.75">
      <c r="A84" s="131"/>
      <c r="B84" s="132"/>
      <c r="C84" s="132"/>
      <c r="D84" s="132"/>
      <c r="E84" s="132"/>
      <c r="F84" s="132"/>
      <c r="G84" s="496"/>
      <c r="H84" s="496"/>
      <c r="I84" s="496"/>
      <c r="J84" s="496"/>
      <c r="K84" s="496"/>
      <c r="L84" s="496"/>
      <c r="M84" s="496"/>
      <c r="N84" s="496"/>
      <c r="O84" s="496"/>
      <c r="P84" s="512"/>
      <c r="Q84" s="512"/>
      <c r="R84" s="496"/>
      <c r="S84" s="496"/>
      <c r="T84" s="496" t="s">
        <v>94</v>
      </c>
      <c r="U84" s="496">
        <v>0.24</v>
      </c>
      <c r="V84" s="496">
        <v>0.4</v>
      </c>
      <c r="W84" s="496">
        <v>0.49</v>
      </c>
      <c r="X84" s="496">
        <v>0.66</v>
      </c>
      <c r="Y84" s="496">
        <v>0.89</v>
      </c>
      <c r="Z84" s="496"/>
      <c r="AA84" s="496"/>
      <c r="AB84" s="496"/>
      <c r="AC84" s="496"/>
      <c r="AD84" s="496"/>
      <c r="AE84" s="496"/>
      <c r="AF84" s="496"/>
      <c r="AG84" s="496"/>
      <c r="AH84" s="496"/>
      <c r="AI84" s="496"/>
      <c r="AJ84" s="496"/>
      <c r="AK84" s="496"/>
      <c r="AL84" s="496"/>
      <c r="AM84" s="496"/>
      <c r="AN84" s="496"/>
      <c r="AO84" s="496"/>
      <c r="AP84" s="496"/>
      <c r="AQ84" s="496"/>
      <c r="AR84" s="496"/>
      <c r="AS84" s="496"/>
      <c r="AT84" s="496"/>
      <c r="AU84" s="496"/>
      <c r="AV84" s="496"/>
      <c r="AW84" s="496"/>
      <c r="AX84" s="496"/>
      <c r="AY84" s="496"/>
      <c r="AZ84" s="496"/>
      <c r="BA84" s="496"/>
      <c r="BB84" s="496"/>
      <c r="BC84" s="496"/>
      <c r="BD84" s="496"/>
      <c r="BE84" s="496"/>
      <c r="BF84" s="496"/>
      <c r="BG84" s="496"/>
      <c r="BH84" s="496"/>
      <c r="BI84" s="496"/>
      <c r="BJ84" s="496"/>
      <c r="BK84" s="496"/>
      <c r="BL84" s="496"/>
      <c r="BM84" s="496"/>
      <c r="BN84" s="496"/>
      <c r="BO84" s="496"/>
      <c r="BP84" s="496"/>
      <c r="BQ84" s="496"/>
      <c r="BR84" s="496"/>
      <c r="BS84" s="496"/>
      <c r="BT84" s="496"/>
      <c r="BU84" s="496"/>
      <c r="BV84" s="496"/>
      <c r="BW84" s="496"/>
      <c r="BX84" s="496"/>
      <c r="BY84" s="496"/>
      <c r="BZ84" s="496"/>
      <c r="CA84" s="496"/>
    </row>
    <row r="85" spans="1:79" ht="15.75">
      <c r="A85" s="427"/>
      <c r="B85" s="132"/>
      <c r="C85" s="132"/>
      <c r="D85" s="132"/>
      <c r="E85" s="132"/>
      <c r="F85" s="132"/>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496"/>
      <c r="AE85" s="496"/>
      <c r="AF85" s="496"/>
      <c r="AG85" s="496"/>
      <c r="AH85" s="496"/>
      <c r="AI85" s="496"/>
      <c r="AJ85" s="496"/>
      <c r="AK85" s="496"/>
      <c r="AL85" s="496"/>
      <c r="AM85" s="496"/>
      <c r="AN85" s="496"/>
      <c r="AO85" s="496"/>
      <c r="AP85" s="496"/>
      <c r="AQ85" s="496"/>
      <c r="AR85" s="496"/>
      <c r="AS85" s="496"/>
      <c r="AT85" s="496"/>
      <c r="AU85" s="496"/>
      <c r="AV85" s="496"/>
      <c r="AW85" s="496"/>
      <c r="AX85" s="496"/>
      <c r="AY85" s="496"/>
      <c r="AZ85" s="496"/>
      <c r="BA85" s="496"/>
      <c r="BB85" s="496"/>
      <c r="BC85" s="496"/>
      <c r="BD85" s="496"/>
      <c r="BE85" s="496"/>
      <c r="BF85" s="496"/>
      <c r="BG85" s="496"/>
      <c r="BH85" s="496"/>
      <c r="BI85" s="496"/>
      <c r="BJ85" s="496"/>
      <c r="BK85" s="496"/>
      <c r="BL85" s="496"/>
      <c r="BM85" s="496"/>
      <c r="BN85" s="496"/>
      <c r="BO85" s="496"/>
      <c r="BP85" s="496"/>
      <c r="BQ85" s="496"/>
      <c r="BR85" s="496"/>
      <c r="BS85" s="496"/>
      <c r="BT85" s="496"/>
      <c r="BU85" s="496"/>
      <c r="BV85" s="496"/>
      <c r="BW85" s="496"/>
      <c r="BX85" s="496"/>
      <c r="BY85" s="496"/>
      <c r="BZ85" s="496"/>
      <c r="CA85" s="496"/>
    </row>
    <row r="86" spans="1:79" ht="15.75">
      <c r="A86" s="131"/>
      <c r="B86" s="132"/>
      <c r="C86" s="132"/>
      <c r="D86" s="132"/>
      <c r="E86" s="132"/>
      <c r="F86" s="132"/>
      <c r="G86" s="496"/>
      <c r="H86" s="496"/>
      <c r="I86" s="496"/>
      <c r="J86" s="496"/>
      <c r="K86" s="496"/>
      <c r="L86" s="496"/>
      <c r="M86" s="496"/>
      <c r="N86" s="496"/>
      <c r="O86" s="496"/>
      <c r="P86" s="496"/>
      <c r="Q86" s="496"/>
      <c r="R86" s="496"/>
      <c r="S86" s="496"/>
      <c r="T86" s="496"/>
      <c r="U86" s="496"/>
      <c r="V86" s="496"/>
      <c r="W86" s="496"/>
      <c r="X86" s="496"/>
      <c r="Y86" s="496"/>
      <c r="Z86" s="496"/>
      <c r="AA86" s="496"/>
      <c r="AB86" s="496"/>
      <c r="AC86" s="496"/>
      <c r="AD86" s="496"/>
      <c r="AE86" s="496"/>
      <c r="AF86" s="496"/>
      <c r="AG86" s="496"/>
      <c r="AH86" s="496"/>
      <c r="AI86" s="496"/>
      <c r="AJ86" s="496"/>
      <c r="AK86" s="496"/>
      <c r="AL86" s="496"/>
      <c r="AM86" s="496"/>
      <c r="AN86" s="496"/>
      <c r="AO86" s="496"/>
      <c r="AP86" s="496"/>
      <c r="AQ86" s="496"/>
      <c r="AR86" s="496"/>
      <c r="AS86" s="496"/>
      <c r="AT86" s="496"/>
      <c r="AU86" s="496"/>
      <c r="AV86" s="496"/>
      <c r="AW86" s="496"/>
      <c r="AX86" s="496"/>
      <c r="AY86" s="496"/>
      <c r="AZ86" s="496"/>
      <c r="BA86" s="496"/>
      <c r="BB86" s="496"/>
      <c r="BC86" s="496"/>
      <c r="BD86" s="496"/>
      <c r="BE86" s="496"/>
      <c r="BF86" s="496"/>
      <c r="BG86" s="496"/>
      <c r="BH86" s="496"/>
      <c r="BI86" s="496"/>
      <c r="BJ86" s="496"/>
      <c r="BK86" s="496"/>
      <c r="BL86" s="496"/>
      <c r="BM86" s="496"/>
      <c r="BN86" s="496"/>
      <c r="BO86" s="496"/>
      <c r="BP86" s="496"/>
      <c r="BQ86" s="496"/>
      <c r="BR86" s="496"/>
      <c r="BS86" s="496"/>
      <c r="BT86" s="496"/>
      <c r="BU86" s="496"/>
      <c r="BV86" s="496"/>
      <c r="BW86" s="496"/>
      <c r="BX86" s="496"/>
      <c r="BY86" s="496"/>
      <c r="BZ86" s="496"/>
      <c r="CA86" s="496"/>
    </row>
    <row r="87" spans="1:79">
      <c r="A87" s="86"/>
      <c r="B87" s="86"/>
      <c r="C87" s="86"/>
      <c r="D87" s="86"/>
      <c r="E87" s="86"/>
      <c r="F87" s="86"/>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6"/>
      <c r="AE87" s="496"/>
      <c r="AF87" s="496"/>
      <c r="AG87" s="496"/>
      <c r="AH87" s="496"/>
      <c r="AI87" s="496"/>
      <c r="AJ87" s="496"/>
      <c r="AK87" s="496"/>
      <c r="AL87" s="496"/>
      <c r="AM87" s="496"/>
      <c r="AN87" s="496"/>
      <c r="AO87" s="496"/>
      <c r="AP87" s="496"/>
      <c r="AQ87" s="496"/>
      <c r="AR87" s="496"/>
      <c r="AS87" s="496"/>
      <c r="AT87" s="496"/>
      <c r="AU87" s="496"/>
      <c r="AV87" s="496"/>
      <c r="AW87" s="496"/>
      <c r="AX87" s="496"/>
      <c r="AY87" s="496"/>
      <c r="AZ87" s="496"/>
      <c r="BA87" s="496"/>
      <c r="BB87" s="496"/>
      <c r="BC87" s="496"/>
      <c r="BD87" s="496"/>
      <c r="BE87" s="496"/>
      <c r="BF87" s="496"/>
      <c r="BG87" s="496"/>
      <c r="BH87" s="496"/>
      <c r="BI87" s="496"/>
      <c r="BJ87" s="496"/>
      <c r="BK87" s="496"/>
      <c r="BL87" s="496"/>
      <c r="BM87" s="496"/>
      <c r="BN87" s="496"/>
      <c r="BO87" s="496"/>
      <c r="BP87" s="496"/>
      <c r="BQ87" s="496"/>
      <c r="BR87" s="496"/>
      <c r="BS87" s="496"/>
      <c r="BT87" s="496"/>
      <c r="BU87" s="496"/>
      <c r="BV87" s="496"/>
      <c r="BW87" s="496"/>
      <c r="BX87" s="496"/>
      <c r="BY87" s="496"/>
      <c r="BZ87" s="496"/>
      <c r="CA87" s="496"/>
    </row>
    <row r="88" spans="1:79" ht="23.25">
      <c r="A88" s="129"/>
      <c r="B88" s="151"/>
      <c r="C88" s="151"/>
      <c r="D88" s="151"/>
      <c r="E88" s="151"/>
      <c r="F88" s="151"/>
      <c r="G88" s="496"/>
      <c r="H88" s="496"/>
      <c r="I88" s="496"/>
      <c r="J88" s="496"/>
      <c r="K88" s="496"/>
      <c r="L88" s="496"/>
      <c r="M88" s="496"/>
      <c r="N88" s="496"/>
      <c r="O88" s="496"/>
      <c r="P88" s="496"/>
      <c r="Q88" s="496"/>
      <c r="R88" s="496"/>
      <c r="S88" s="496"/>
      <c r="T88" s="496"/>
      <c r="U88" s="496"/>
      <c r="V88" s="496"/>
      <c r="W88" s="496"/>
      <c r="X88" s="496"/>
      <c r="Y88" s="496"/>
      <c r="Z88" s="496"/>
      <c r="AA88" s="496"/>
      <c r="AB88" s="496"/>
      <c r="AC88" s="496"/>
      <c r="AD88" s="496"/>
      <c r="AE88" s="496"/>
      <c r="AF88" s="496"/>
      <c r="AG88" s="496"/>
      <c r="AH88" s="496"/>
      <c r="AI88" s="496"/>
      <c r="AJ88" s="496"/>
      <c r="AK88" s="496"/>
      <c r="AL88" s="496"/>
      <c r="AM88" s="496"/>
      <c r="AN88" s="496"/>
      <c r="AO88" s="496"/>
      <c r="AP88" s="496"/>
      <c r="AQ88" s="496"/>
      <c r="AR88" s="496"/>
      <c r="AS88" s="496"/>
      <c r="AT88" s="496"/>
      <c r="AU88" s="496"/>
      <c r="AV88" s="496"/>
      <c r="AW88" s="496"/>
      <c r="AX88" s="496"/>
      <c r="AY88" s="496"/>
      <c r="AZ88" s="496"/>
      <c r="BA88" s="496"/>
      <c r="BB88" s="496"/>
      <c r="BC88" s="496"/>
      <c r="BD88" s="496"/>
      <c r="BE88" s="496"/>
      <c r="BF88" s="496"/>
      <c r="BG88" s="496"/>
      <c r="BH88" s="496"/>
      <c r="BI88" s="496"/>
      <c r="BJ88" s="496"/>
      <c r="BK88" s="496"/>
      <c r="BL88" s="496"/>
      <c r="BM88" s="496"/>
      <c r="BN88" s="496"/>
      <c r="BO88" s="496"/>
      <c r="BP88" s="496"/>
      <c r="BQ88" s="496"/>
      <c r="BR88" s="496"/>
      <c r="BS88" s="496"/>
      <c r="BT88" s="496"/>
      <c r="BU88" s="496"/>
      <c r="BV88" s="496"/>
      <c r="BW88" s="496"/>
      <c r="BX88" s="496"/>
      <c r="BY88" s="496"/>
      <c r="BZ88" s="496"/>
      <c r="CA88" s="496"/>
    </row>
    <row r="89" spans="1:79">
      <c r="A89" s="86"/>
      <c r="B89" s="86"/>
      <c r="C89" s="86"/>
      <c r="D89" s="86"/>
      <c r="E89" s="86"/>
      <c r="F89" s="86"/>
      <c r="G89" s="496"/>
      <c r="H89" s="496"/>
      <c r="I89" s="496"/>
      <c r="J89" s="496"/>
      <c r="K89" s="496"/>
      <c r="L89" s="496"/>
      <c r="M89" s="496"/>
      <c r="N89" s="496"/>
      <c r="O89" s="496"/>
      <c r="P89" s="496"/>
      <c r="Q89" s="496" t="s">
        <v>23</v>
      </c>
      <c r="R89" s="496"/>
      <c r="S89" s="496"/>
      <c r="T89" s="496"/>
      <c r="U89" s="496"/>
      <c r="V89" s="496"/>
      <c r="W89" s="496"/>
      <c r="X89" s="496"/>
      <c r="Y89" s="496"/>
      <c r="Z89" s="496"/>
      <c r="AA89" s="496"/>
      <c r="AB89" s="496"/>
      <c r="AC89" s="496"/>
      <c r="AD89" s="496"/>
      <c r="AE89" s="496"/>
      <c r="AF89" s="496"/>
      <c r="AG89" s="496"/>
      <c r="AH89" s="496"/>
      <c r="AI89" s="496"/>
      <c r="AJ89" s="496"/>
      <c r="AK89" s="496"/>
      <c r="AL89" s="496"/>
      <c r="AM89" s="496"/>
      <c r="AN89" s="496"/>
      <c r="AO89" s="496"/>
      <c r="AP89" s="496"/>
      <c r="AQ89" s="496"/>
      <c r="AR89" s="496"/>
      <c r="AS89" s="496"/>
      <c r="AT89" s="496"/>
      <c r="AU89" s="496"/>
      <c r="AV89" s="496"/>
      <c r="AW89" s="496"/>
      <c r="AX89" s="496"/>
      <c r="AY89" s="496"/>
      <c r="AZ89" s="496"/>
      <c r="BA89" s="496"/>
      <c r="BB89" s="496"/>
      <c r="BC89" s="496"/>
      <c r="BD89" s="496"/>
      <c r="BE89" s="496"/>
      <c r="BF89" s="496"/>
      <c r="BG89" s="496"/>
      <c r="BH89" s="496"/>
      <c r="BI89" s="496"/>
      <c r="BJ89" s="496"/>
      <c r="BK89" s="496"/>
      <c r="BL89" s="496"/>
      <c r="BM89" s="496"/>
      <c r="BN89" s="496"/>
      <c r="BO89" s="496"/>
      <c r="BP89" s="496"/>
      <c r="BQ89" s="496"/>
      <c r="BR89" s="496"/>
      <c r="BS89" s="496"/>
      <c r="BT89" s="496"/>
      <c r="BU89" s="496"/>
      <c r="BV89" s="496"/>
      <c r="BW89" s="496"/>
      <c r="BX89" s="496"/>
      <c r="BY89" s="496"/>
      <c r="BZ89" s="496"/>
      <c r="CA89" s="496"/>
    </row>
    <row r="90" spans="1:79" ht="15.75">
      <c r="A90" s="131"/>
      <c r="B90" s="132"/>
      <c r="C90" s="132"/>
      <c r="D90" s="132"/>
      <c r="E90" s="132"/>
      <c r="F90" s="132"/>
      <c r="G90" s="496"/>
      <c r="H90" s="496"/>
      <c r="I90" s="496"/>
      <c r="J90" s="496"/>
      <c r="K90" s="496"/>
      <c r="L90" s="496"/>
      <c r="M90" s="496"/>
      <c r="N90" s="496"/>
      <c r="O90" s="496"/>
      <c r="P90" s="496" t="s">
        <v>210</v>
      </c>
      <c r="Q90" s="496">
        <f>IF(B5=T75,U83,IF(B5=T76,V83,IF(B5=T77,W83,IF(B5=T78,X83,IF(B5=T79,Y83,0)))))</f>
        <v>0.45</v>
      </c>
      <c r="R90" s="496"/>
      <c r="S90" s="496"/>
      <c r="T90" s="496"/>
      <c r="U90" s="496"/>
      <c r="V90" s="496"/>
      <c r="W90" s="496"/>
      <c r="X90" s="496"/>
      <c r="Y90" s="496"/>
      <c r="Z90" s="496"/>
      <c r="AA90" s="496"/>
      <c r="AB90" s="496"/>
      <c r="AC90" s="496"/>
      <c r="AD90" s="496"/>
      <c r="AE90" s="496"/>
      <c r="AF90" s="496"/>
      <c r="AG90" s="496"/>
      <c r="AH90" s="496"/>
      <c r="AI90" s="496"/>
      <c r="AJ90" s="496"/>
      <c r="AK90" s="496"/>
      <c r="AL90" s="496"/>
      <c r="AM90" s="496"/>
      <c r="AN90" s="496"/>
      <c r="AO90" s="496"/>
      <c r="AP90" s="496"/>
      <c r="AQ90" s="496"/>
      <c r="AR90" s="496"/>
      <c r="AS90" s="496"/>
      <c r="AT90" s="496"/>
      <c r="AU90" s="496"/>
      <c r="AV90" s="496"/>
      <c r="AW90" s="496"/>
      <c r="AX90" s="496"/>
      <c r="AY90" s="496"/>
      <c r="AZ90" s="496"/>
      <c r="BA90" s="496"/>
      <c r="BB90" s="496"/>
      <c r="BC90" s="496"/>
      <c r="BD90" s="496"/>
      <c r="BE90" s="496"/>
      <c r="BF90" s="496"/>
      <c r="BG90" s="496"/>
      <c r="BH90" s="496"/>
      <c r="BI90" s="496"/>
      <c r="BJ90" s="496"/>
      <c r="BK90" s="496"/>
      <c r="BL90" s="496"/>
      <c r="BM90" s="496"/>
      <c r="BN90" s="496"/>
      <c r="BO90" s="496"/>
      <c r="BP90" s="496"/>
      <c r="BQ90" s="496"/>
      <c r="BR90" s="496"/>
      <c r="BS90" s="496"/>
      <c r="BT90" s="496"/>
      <c r="BU90" s="496"/>
      <c r="BV90" s="496"/>
      <c r="BW90" s="496"/>
      <c r="BX90" s="496"/>
      <c r="BY90" s="496"/>
      <c r="BZ90" s="496"/>
      <c r="CA90" s="496"/>
    </row>
    <row r="91" spans="1:79" ht="15.75">
      <c r="A91" s="427"/>
      <c r="B91" s="132"/>
      <c r="C91" s="132"/>
      <c r="D91" s="132"/>
      <c r="E91" s="132"/>
      <c r="F91" s="132"/>
      <c r="G91" s="496"/>
      <c r="H91" s="496"/>
      <c r="I91" s="496"/>
      <c r="J91" s="496"/>
      <c r="K91" s="496"/>
      <c r="L91" s="496"/>
      <c r="M91" s="496"/>
      <c r="N91" s="496"/>
      <c r="O91" s="496"/>
      <c r="P91" s="496" t="s">
        <v>94</v>
      </c>
      <c r="Q91" s="496">
        <f>IF(B5=T75,U84,IF(B5=T76,V84,IF(B5=T77,W84,IF(B5=T78,X84,IF(B5=T79,Y84,0)))))</f>
        <v>0.4</v>
      </c>
      <c r="R91" s="496"/>
      <c r="S91" s="496"/>
      <c r="T91" s="496"/>
      <c r="U91" s="496"/>
      <c r="V91" s="496"/>
      <c r="W91" s="496"/>
      <c r="X91" s="496"/>
      <c r="Y91" s="496"/>
      <c r="Z91" s="496"/>
      <c r="AA91" s="496"/>
      <c r="AB91" s="496"/>
      <c r="AC91" s="496"/>
      <c r="AD91" s="496"/>
      <c r="AE91" s="496"/>
      <c r="AF91" s="496"/>
      <c r="AG91" s="496"/>
      <c r="AH91" s="496"/>
      <c r="AI91" s="496"/>
      <c r="AJ91" s="496"/>
      <c r="AK91" s="496"/>
      <c r="AL91" s="496"/>
      <c r="AM91" s="496"/>
      <c r="AN91" s="496"/>
      <c r="AO91" s="496"/>
      <c r="AP91" s="496"/>
      <c r="AQ91" s="496"/>
      <c r="AR91" s="496"/>
      <c r="AS91" s="496"/>
      <c r="AT91" s="496"/>
      <c r="AU91" s="496"/>
      <c r="AV91" s="496"/>
      <c r="AW91" s="496"/>
      <c r="AX91" s="496"/>
      <c r="AY91" s="496"/>
      <c r="AZ91" s="496"/>
      <c r="BA91" s="496"/>
      <c r="BB91" s="496"/>
      <c r="BC91" s="496"/>
      <c r="BD91" s="496"/>
      <c r="BE91" s="496"/>
      <c r="BF91" s="496"/>
      <c r="BG91" s="496"/>
      <c r="BH91" s="496"/>
      <c r="BI91" s="496"/>
      <c r="BJ91" s="496"/>
      <c r="BK91" s="496"/>
      <c r="BL91" s="496"/>
      <c r="BM91" s="496"/>
      <c r="BN91" s="496"/>
      <c r="BO91" s="496"/>
      <c r="BP91" s="496"/>
      <c r="BQ91" s="496"/>
      <c r="BR91" s="496"/>
      <c r="BS91" s="496"/>
      <c r="BT91" s="496"/>
      <c r="BU91" s="496"/>
      <c r="BV91" s="496"/>
      <c r="BW91" s="496"/>
      <c r="BX91" s="496"/>
      <c r="BY91" s="496"/>
      <c r="BZ91" s="496"/>
      <c r="CA91" s="496"/>
    </row>
    <row r="92" spans="1:79" ht="15.75">
      <c r="A92" s="131"/>
      <c r="B92" s="132"/>
      <c r="C92" s="132"/>
      <c r="D92" s="132"/>
      <c r="E92" s="132"/>
      <c r="F92" s="132"/>
      <c r="G92" s="496"/>
      <c r="H92" s="496"/>
      <c r="I92" s="496"/>
      <c r="J92" s="496"/>
      <c r="K92" s="496"/>
      <c r="L92" s="496"/>
      <c r="M92" s="496"/>
      <c r="N92" s="496"/>
      <c r="O92" s="496"/>
      <c r="P92" s="496"/>
      <c r="Q92" s="496"/>
      <c r="R92" s="496"/>
      <c r="S92" s="496"/>
      <c r="T92" s="496"/>
      <c r="U92" s="496"/>
      <c r="V92" s="496"/>
      <c r="W92" s="496"/>
      <c r="X92" s="496"/>
      <c r="Y92" s="496"/>
      <c r="Z92" s="496"/>
      <c r="AA92" s="496"/>
      <c r="AB92" s="496"/>
      <c r="AC92" s="496"/>
      <c r="AD92" s="496"/>
      <c r="AE92" s="496"/>
      <c r="AF92" s="496"/>
      <c r="AG92" s="496"/>
      <c r="AH92" s="496"/>
      <c r="AI92" s="496"/>
      <c r="AJ92" s="496"/>
      <c r="AK92" s="496"/>
      <c r="AL92" s="496"/>
      <c r="AM92" s="496"/>
      <c r="AN92" s="496"/>
      <c r="AO92" s="496"/>
      <c r="AP92" s="496"/>
      <c r="AQ92" s="496"/>
      <c r="AR92" s="496"/>
      <c r="AS92" s="496"/>
      <c r="AT92" s="496"/>
      <c r="AU92" s="496"/>
      <c r="AV92" s="496"/>
      <c r="AW92" s="496"/>
      <c r="AX92" s="496"/>
      <c r="AY92" s="496"/>
      <c r="AZ92" s="496"/>
      <c r="BA92" s="496"/>
      <c r="BB92" s="496"/>
      <c r="BC92" s="496"/>
      <c r="BD92" s="496"/>
      <c r="BE92" s="496"/>
      <c r="BF92" s="496"/>
      <c r="BG92" s="496"/>
      <c r="BH92" s="496"/>
      <c r="BI92" s="496"/>
      <c r="BJ92" s="496"/>
      <c r="BK92" s="496"/>
      <c r="BL92" s="496"/>
      <c r="BM92" s="496"/>
      <c r="BN92" s="496"/>
      <c r="BO92" s="496"/>
      <c r="BP92" s="496"/>
      <c r="BQ92" s="496"/>
      <c r="BR92" s="496"/>
      <c r="BS92" s="496"/>
      <c r="BT92" s="496"/>
      <c r="BU92" s="496"/>
      <c r="BV92" s="496"/>
      <c r="BW92" s="496"/>
      <c r="BX92" s="496"/>
      <c r="BY92" s="496"/>
      <c r="BZ92" s="496"/>
      <c r="CA92" s="496"/>
    </row>
    <row r="93" spans="1:79">
      <c r="A93" s="86"/>
      <c r="B93" s="86"/>
      <c r="C93" s="86"/>
      <c r="D93" s="86"/>
      <c r="E93" s="86"/>
      <c r="F93" s="86"/>
      <c r="G93" s="496"/>
      <c r="H93" s="496"/>
      <c r="I93" s="496"/>
      <c r="J93" s="496"/>
      <c r="K93" s="496"/>
      <c r="L93" s="496"/>
      <c r="M93" s="496"/>
      <c r="N93" s="496"/>
      <c r="O93" s="496"/>
      <c r="P93" s="496"/>
      <c r="Q93" s="496"/>
      <c r="R93" s="496"/>
      <c r="S93" s="496"/>
      <c r="T93" s="496"/>
      <c r="U93" s="496"/>
      <c r="V93" s="496"/>
      <c r="W93" s="496"/>
      <c r="X93" s="496"/>
      <c r="Y93" s="496"/>
      <c r="Z93" s="496"/>
      <c r="AA93" s="496"/>
      <c r="AB93" s="496"/>
      <c r="AC93" s="496"/>
      <c r="AD93" s="496"/>
      <c r="AE93" s="496"/>
      <c r="AF93" s="496"/>
      <c r="AG93" s="496"/>
      <c r="AH93" s="496"/>
      <c r="AI93" s="496"/>
      <c r="AJ93" s="496"/>
      <c r="AK93" s="496"/>
      <c r="AL93" s="496"/>
      <c r="AM93" s="496"/>
      <c r="AN93" s="496"/>
      <c r="AO93" s="496"/>
      <c r="AP93" s="496"/>
      <c r="AQ93" s="496"/>
      <c r="AR93" s="496"/>
      <c r="AS93" s="496"/>
      <c r="AT93" s="496"/>
      <c r="AU93" s="496"/>
      <c r="AV93" s="496"/>
      <c r="AW93" s="496"/>
      <c r="AX93" s="496"/>
      <c r="AY93" s="496"/>
      <c r="AZ93" s="496"/>
      <c r="BA93" s="496"/>
      <c r="BB93" s="496"/>
      <c r="BC93" s="496"/>
      <c r="BD93" s="496"/>
      <c r="BE93" s="496"/>
      <c r="BF93" s="496"/>
      <c r="BG93" s="496"/>
      <c r="BH93" s="496"/>
      <c r="BI93" s="496"/>
      <c r="BJ93" s="496"/>
      <c r="BK93" s="496"/>
      <c r="BL93" s="496"/>
      <c r="BM93" s="496"/>
      <c r="BN93" s="496"/>
      <c r="BO93" s="496"/>
      <c r="BP93" s="496"/>
      <c r="BQ93" s="496"/>
      <c r="BR93" s="496"/>
      <c r="BS93" s="496"/>
      <c r="BT93" s="496"/>
      <c r="BU93" s="496"/>
      <c r="BV93" s="496"/>
      <c r="BW93" s="496"/>
      <c r="BX93" s="496"/>
      <c r="BY93" s="496"/>
      <c r="BZ93" s="496"/>
      <c r="CA93" s="496"/>
    </row>
    <row r="94" spans="1:79" ht="37.5">
      <c r="A94" s="430"/>
      <c r="B94" s="86"/>
      <c r="C94" s="86"/>
      <c r="D94" s="86"/>
      <c r="E94" s="86"/>
      <c r="F94" s="150"/>
      <c r="G94" s="496"/>
      <c r="H94" s="496"/>
      <c r="I94" s="496"/>
      <c r="J94" s="496"/>
      <c r="K94" s="496"/>
      <c r="L94" s="496"/>
      <c r="M94" s="496"/>
      <c r="N94" s="496"/>
      <c r="O94" s="496"/>
      <c r="P94" s="496"/>
      <c r="Q94" s="496"/>
      <c r="R94" s="496"/>
      <c r="S94" s="496"/>
      <c r="T94" s="496"/>
      <c r="U94" s="496"/>
      <c r="V94" s="496"/>
      <c r="W94" s="496"/>
      <c r="X94" s="496"/>
      <c r="Y94" s="496"/>
      <c r="Z94" s="496"/>
      <c r="AA94" s="496"/>
      <c r="AB94" s="496"/>
      <c r="AC94" s="496"/>
      <c r="AD94" s="496"/>
      <c r="AE94" s="496"/>
      <c r="AF94" s="496"/>
      <c r="AG94" s="496"/>
      <c r="AH94" s="496"/>
      <c r="AI94" s="496"/>
      <c r="AJ94" s="496"/>
      <c r="AK94" s="496"/>
      <c r="AL94" s="496"/>
      <c r="AM94" s="496"/>
      <c r="AN94" s="496"/>
      <c r="AO94" s="496"/>
      <c r="AP94" s="496"/>
      <c r="AQ94" s="496"/>
      <c r="AR94" s="496"/>
      <c r="AS94" s="496"/>
      <c r="AT94" s="496"/>
      <c r="AU94" s="496"/>
      <c r="AV94" s="496"/>
      <c r="AW94" s="496"/>
      <c r="AX94" s="496"/>
      <c r="AY94" s="496"/>
      <c r="AZ94" s="496"/>
      <c r="BA94" s="496"/>
      <c r="BB94" s="496"/>
      <c r="BC94" s="496"/>
      <c r="BD94" s="496"/>
      <c r="BE94" s="496"/>
      <c r="BF94" s="496"/>
      <c r="BG94" s="496"/>
      <c r="BH94" s="496"/>
      <c r="BI94" s="496"/>
      <c r="BJ94" s="496"/>
      <c r="BK94" s="496"/>
      <c r="BL94" s="496"/>
      <c r="BM94" s="496"/>
      <c r="BN94" s="496"/>
      <c r="BO94" s="496"/>
      <c r="BP94" s="496"/>
      <c r="BQ94" s="496"/>
      <c r="BR94" s="496"/>
      <c r="BS94" s="496"/>
      <c r="BT94" s="496"/>
      <c r="BU94" s="496"/>
      <c r="BV94" s="496"/>
      <c r="BW94" s="496"/>
      <c r="BX94" s="496"/>
      <c r="BY94" s="496"/>
      <c r="BZ94" s="496"/>
      <c r="CA94" s="496"/>
    </row>
    <row r="95" spans="1:79" ht="17.25" customHeight="1">
      <c r="A95" s="129"/>
      <c r="B95" s="151"/>
      <c r="C95" s="151"/>
      <c r="D95" s="151"/>
      <c r="E95" s="151"/>
      <c r="F95" s="151"/>
      <c r="G95" s="496"/>
      <c r="H95" s="496"/>
      <c r="I95" s="496"/>
      <c r="J95" s="496"/>
      <c r="K95" s="496"/>
      <c r="L95" s="496"/>
      <c r="M95" s="496"/>
      <c r="N95" s="496"/>
      <c r="O95" s="496"/>
      <c r="P95" s="496"/>
      <c r="Q95" s="496"/>
      <c r="R95" s="496"/>
      <c r="S95" s="496"/>
      <c r="T95" s="496"/>
      <c r="U95" s="496"/>
      <c r="V95" s="496"/>
      <c r="W95" s="496"/>
      <c r="X95" s="496"/>
      <c r="Y95" s="496"/>
      <c r="Z95" s="496"/>
      <c r="AA95" s="496"/>
      <c r="AB95" s="496"/>
      <c r="AC95" s="496"/>
      <c r="AD95" s="496"/>
      <c r="AE95" s="496"/>
      <c r="AF95" s="496"/>
      <c r="AG95" s="496"/>
      <c r="AH95" s="496"/>
      <c r="AI95" s="496"/>
      <c r="AJ95" s="496"/>
      <c r="AK95" s="496"/>
      <c r="AL95" s="496"/>
      <c r="AM95" s="496"/>
      <c r="AN95" s="496"/>
      <c r="AO95" s="496"/>
      <c r="AP95" s="496"/>
      <c r="AQ95" s="496"/>
      <c r="AR95" s="496"/>
      <c r="AS95" s="496"/>
      <c r="AT95" s="496"/>
      <c r="AU95" s="496"/>
      <c r="AV95" s="496"/>
      <c r="AW95" s="496"/>
      <c r="AX95" s="496"/>
      <c r="AY95" s="496"/>
      <c r="AZ95" s="496"/>
      <c r="BA95" s="496"/>
      <c r="BB95" s="496"/>
      <c r="BC95" s="496"/>
      <c r="BD95" s="496"/>
      <c r="BE95" s="496"/>
      <c r="BF95" s="496"/>
      <c r="BG95" s="496"/>
      <c r="BH95" s="496"/>
      <c r="BI95" s="496"/>
      <c r="BJ95" s="496"/>
      <c r="BK95" s="496"/>
      <c r="BL95" s="496"/>
      <c r="BM95" s="496"/>
      <c r="BN95" s="496"/>
      <c r="BO95" s="496"/>
      <c r="BP95" s="496"/>
      <c r="BQ95" s="496"/>
      <c r="BR95" s="496"/>
      <c r="BS95" s="496"/>
      <c r="BT95" s="496"/>
      <c r="BU95" s="496"/>
      <c r="BV95" s="496"/>
      <c r="BW95" s="496"/>
      <c r="BX95" s="496"/>
      <c r="BY95" s="496"/>
      <c r="BZ95" s="496"/>
      <c r="CA95" s="496"/>
    </row>
    <row r="96" spans="1:79">
      <c r="A96" s="86"/>
      <c r="B96" s="86"/>
      <c r="C96" s="86"/>
      <c r="D96" s="86"/>
      <c r="E96" s="86"/>
      <c r="F96" s="86"/>
      <c r="G96" s="496"/>
      <c r="H96" s="496"/>
      <c r="I96" s="496"/>
      <c r="J96" s="496"/>
      <c r="K96" s="496"/>
      <c r="L96" s="496"/>
      <c r="M96" s="496"/>
      <c r="N96" s="496"/>
      <c r="O96" s="496"/>
      <c r="P96" s="496"/>
      <c r="Q96" s="496"/>
      <c r="R96" s="496"/>
      <c r="S96" s="496"/>
      <c r="T96" s="496"/>
      <c r="U96" s="496"/>
      <c r="V96" s="496"/>
      <c r="W96" s="496"/>
      <c r="X96" s="496"/>
      <c r="Y96" s="496"/>
      <c r="Z96" s="496"/>
      <c r="AA96" s="496"/>
      <c r="AB96" s="496"/>
      <c r="AC96" s="496"/>
      <c r="AD96" s="496"/>
      <c r="AE96" s="496"/>
      <c r="AF96" s="496"/>
      <c r="AG96" s="496"/>
      <c r="AH96" s="496"/>
      <c r="AI96" s="496"/>
      <c r="AJ96" s="496"/>
      <c r="AK96" s="496"/>
      <c r="AL96" s="496"/>
      <c r="AM96" s="496"/>
      <c r="AN96" s="496"/>
      <c r="AO96" s="496"/>
      <c r="AP96" s="496"/>
      <c r="AQ96" s="496"/>
      <c r="AR96" s="496"/>
      <c r="AS96" s="496"/>
      <c r="AT96" s="496"/>
      <c r="AU96" s="496"/>
      <c r="AV96" s="496"/>
      <c r="AW96" s="496"/>
      <c r="AX96" s="496"/>
      <c r="AY96" s="496"/>
      <c r="AZ96" s="496"/>
      <c r="BA96" s="496"/>
      <c r="BB96" s="496"/>
      <c r="BC96" s="496"/>
      <c r="BD96" s="496"/>
      <c r="BE96" s="496"/>
      <c r="BF96" s="496"/>
      <c r="BG96" s="496"/>
      <c r="BH96" s="496"/>
      <c r="BI96" s="496"/>
      <c r="BJ96" s="496"/>
      <c r="BK96" s="496"/>
      <c r="BL96" s="496"/>
      <c r="BM96" s="496"/>
      <c r="BN96" s="496"/>
      <c r="BO96" s="496"/>
      <c r="BP96" s="496"/>
      <c r="BQ96" s="496"/>
      <c r="BR96" s="496"/>
      <c r="BS96" s="496"/>
      <c r="BT96" s="496"/>
      <c r="BU96" s="496"/>
      <c r="BV96" s="496"/>
      <c r="BW96" s="496"/>
      <c r="BX96" s="496"/>
      <c r="BY96" s="496"/>
      <c r="BZ96" s="496"/>
      <c r="CA96" s="496"/>
    </row>
    <row r="97" spans="1:79" ht="15.75">
      <c r="A97" s="131"/>
      <c r="B97" s="132"/>
      <c r="C97" s="132"/>
      <c r="D97" s="132"/>
      <c r="E97" s="132"/>
      <c r="F97" s="132"/>
      <c r="G97" s="496"/>
      <c r="H97" s="496"/>
      <c r="I97" s="496"/>
      <c r="J97" s="496"/>
      <c r="K97" s="496"/>
      <c r="L97" s="496"/>
      <c r="M97" s="496"/>
      <c r="N97" s="496"/>
      <c r="O97" s="496"/>
      <c r="P97" s="496"/>
      <c r="Q97" s="496"/>
      <c r="R97" s="496"/>
      <c r="S97" s="496"/>
      <c r="T97" s="496"/>
      <c r="U97" s="496"/>
      <c r="V97" s="496"/>
      <c r="W97" s="496"/>
      <c r="X97" s="496"/>
      <c r="Y97" s="496"/>
      <c r="Z97" s="496"/>
      <c r="AA97" s="496"/>
      <c r="AB97" s="496"/>
      <c r="AC97" s="496"/>
      <c r="AD97" s="496"/>
      <c r="AE97" s="496"/>
      <c r="AF97" s="496"/>
      <c r="AG97" s="496"/>
      <c r="AH97" s="496"/>
      <c r="AI97" s="496"/>
      <c r="AJ97" s="496"/>
      <c r="AK97" s="496"/>
      <c r="AL97" s="496"/>
      <c r="AM97" s="496"/>
      <c r="AN97" s="496"/>
      <c r="AO97" s="496"/>
      <c r="AP97" s="496"/>
      <c r="AQ97" s="496"/>
      <c r="AR97" s="496"/>
      <c r="AS97" s="496"/>
      <c r="AT97" s="496"/>
      <c r="AU97" s="496"/>
      <c r="AV97" s="496"/>
      <c r="AW97" s="496"/>
      <c r="AX97" s="496"/>
      <c r="AY97" s="496"/>
      <c r="AZ97" s="496"/>
      <c r="BA97" s="496"/>
      <c r="BB97" s="496"/>
      <c r="BC97" s="496"/>
      <c r="BD97" s="496"/>
      <c r="BE97" s="496"/>
      <c r="BF97" s="496"/>
      <c r="BG97" s="496"/>
      <c r="BH97" s="496"/>
      <c r="BI97" s="496"/>
      <c r="BJ97" s="496"/>
      <c r="BK97" s="496"/>
      <c r="BL97" s="496"/>
      <c r="BM97" s="496"/>
      <c r="BN97" s="496"/>
      <c r="BO97" s="496"/>
      <c r="BP97" s="496"/>
      <c r="BQ97" s="496"/>
      <c r="BR97" s="496"/>
      <c r="BS97" s="496"/>
      <c r="BT97" s="496"/>
      <c r="BU97" s="496"/>
      <c r="BV97" s="496"/>
      <c r="BW97" s="496"/>
      <c r="BX97" s="496"/>
      <c r="BY97" s="496"/>
      <c r="BZ97" s="496"/>
      <c r="CA97" s="496"/>
    </row>
    <row r="98" spans="1:79" ht="15" customHeight="1">
      <c r="A98" s="427"/>
      <c r="B98" s="132"/>
      <c r="C98" s="132"/>
      <c r="D98" s="132"/>
      <c r="E98" s="132"/>
      <c r="F98" s="132"/>
      <c r="G98" s="496"/>
      <c r="H98" s="496"/>
      <c r="I98" s="496"/>
      <c r="J98" s="496"/>
      <c r="K98" s="496"/>
      <c r="L98" s="496"/>
      <c r="M98" s="496"/>
      <c r="N98" s="496"/>
      <c r="O98" s="496"/>
      <c r="P98" s="496"/>
      <c r="Q98" s="496"/>
      <c r="R98" s="496"/>
      <c r="S98" s="496"/>
      <c r="T98" s="496"/>
      <c r="U98" s="496"/>
      <c r="V98" s="496"/>
      <c r="W98" s="496"/>
      <c r="X98" s="496"/>
      <c r="Y98" s="496"/>
      <c r="Z98" s="496"/>
      <c r="AA98" s="496"/>
      <c r="AB98" s="496"/>
      <c r="AC98" s="496"/>
      <c r="AD98" s="496"/>
      <c r="AE98" s="496"/>
      <c r="AF98" s="496"/>
      <c r="AG98" s="496"/>
      <c r="AH98" s="496"/>
      <c r="AI98" s="496"/>
      <c r="AJ98" s="496"/>
      <c r="AK98" s="496"/>
      <c r="AL98" s="496"/>
      <c r="AM98" s="496"/>
      <c r="AN98" s="496"/>
      <c r="AO98" s="496"/>
      <c r="AP98" s="496"/>
      <c r="AQ98" s="496"/>
      <c r="AR98" s="496"/>
      <c r="AS98" s="496"/>
      <c r="AT98" s="496"/>
      <c r="AU98" s="496"/>
      <c r="AV98" s="496"/>
      <c r="AW98" s="496"/>
      <c r="AX98" s="496"/>
      <c r="AY98" s="496"/>
      <c r="AZ98" s="496"/>
      <c r="BA98" s="496"/>
      <c r="BB98" s="496"/>
      <c r="BC98" s="496"/>
      <c r="BD98" s="496"/>
      <c r="BE98" s="496"/>
      <c r="BF98" s="496"/>
      <c r="BG98" s="496"/>
      <c r="BH98" s="496"/>
      <c r="BI98" s="496"/>
      <c r="BJ98" s="496"/>
      <c r="BK98" s="496"/>
      <c r="BL98" s="496"/>
      <c r="BM98" s="496"/>
      <c r="BN98" s="496"/>
      <c r="BO98" s="496"/>
      <c r="BP98" s="496"/>
      <c r="BQ98" s="496"/>
      <c r="BR98" s="496"/>
      <c r="BS98" s="496"/>
      <c r="BT98" s="496"/>
      <c r="BU98" s="496"/>
      <c r="BV98" s="496"/>
      <c r="BW98" s="496"/>
      <c r="BX98" s="496"/>
      <c r="BY98" s="496"/>
      <c r="BZ98" s="496"/>
      <c r="CA98" s="496"/>
    </row>
    <row r="99" spans="1:79" ht="15.75">
      <c r="A99" s="131"/>
      <c r="B99" s="132"/>
      <c r="C99" s="132"/>
      <c r="D99" s="132"/>
      <c r="E99" s="132"/>
      <c r="F99" s="132"/>
      <c r="G99" s="496"/>
      <c r="H99" s="496"/>
      <c r="I99" s="496"/>
      <c r="J99" s="496"/>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6"/>
      <c r="AL99" s="496"/>
      <c r="AM99" s="496"/>
      <c r="AN99" s="496"/>
      <c r="AO99" s="496"/>
      <c r="AP99" s="496"/>
      <c r="AQ99" s="496"/>
      <c r="AR99" s="496"/>
      <c r="AS99" s="496"/>
      <c r="AT99" s="496"/>
      <c r="AU99" s="496"/>
      <c r="AV99" s="496"/>
      <c r="AW99" s="496"/>
      <c r="AX99" s="496"/>
      <c r="AY99" s="496"/>
      <c r="AZ99" s="496"/>
      <c r="BA99" s="496"/>
      <c r="BB99" s="496"/>
      <c r="BC99" s="496"/>
      <c r="BD99" s="496"/>
      <c r="BE99" s="496"/>
      <c r="BF99" s="496"/>
      <c r="BG99" s="496"/>
      <c r="BH99" s="496"/>
      <c r="BI99" s="496"/>
      <c r="BJ99" s="496"/>
      <c r="BK99" s="496"/>
      <c r="BL99" s="496"/>
      <c r="BM99" s="496"/>
      <c r="BN99" s="496"/>
      <c r="BO99" s="496"/>
      <c r="BP99" s="496"/>
      <c r="BQ99" s="496"/>
      <c r="BR99" s="496"/>
      <c r="BS99" s="496"/>
      <c r="BT99" s="496"/>
      <c r="BU99" s="496"/>
      <c r="BV99" s="496"/>
      <c r="BW99" s="496"/>
      <c r="BX99" s="496"/>
      <c r="BY99" s="496"/>
      <c r="BZ99" s="496"/>
      <c r="CA99" s="496"/>
    </row>
    <row r="100" spans="1:79">
      <c r="A100" s="86"/>
      <c r="B100" s="150"/>
      <c r="C100" s="150"/>
      <c r="D100" s="150"/>
      <c r="E100" s="150"/>
      <c r="F100" s="86"/>
      <c r="G100" s="496"/>
      <c r="H100" s="496"/>
      <c r="I100" s="496"/>
      <c r="J100" s="496"/>
      <c r="K100" s="496"/>
      <c r="L100" s="496"/>
      <c r="M100" s="496"/>
      <c r="N100" s="496"/>
      <c r="O100" s="496"/>
      <c r="P100" s="496"/>
      <c r="Q100" s="496"/>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496"/>
      <c r="AM100" s="496"/>
      <c r="AN100" s="496"/>
      <c r="AO100" s="496"/>
      <c r="AP100" s="496"/>
      <c r="AQ100" s="496"/>
      <c r="AR100" s="496"/>
      <c r="AS100" s="496"/>
      <c r="AT100" s="496"/>
      <c r="AU100" s="496"/>
      <c r="AV100" s="496"/>
      <c r="AW100" s="496"/>
      <c r="AX100" s="496"/>
      <c r="AY100" s="496"/>
      <c r="AZ100" s="496"/>
      <c r="BA100" s="496"/>
      <c r="BB100" s="496"/>
      <c r="BC100" s="496"/>
      <c r="BD100" s="496"/>
      <c r="BE100" s="496"/>
      <c r="BF100" s="496"/>
      <c r="BG100" s="496"/>
      <c r="BH100" s="496"/>
      <c r="BI100" s="496"/>
      <c r="BJ100" s="496"/>
      <c r="BK100" s="496"/>
      <c r="BL100" s="496"/>
      <c r="BM100" s="496"/>
      <c r="BN100" s="496"/>
      <c r="BO100" s="496"/>
      <c r="BP100" s="496"/>
      <c r="BQ100" s="496"/>
      <c r="BR100" s="496"/>
      <c r="BS100" s="496"/>
      <c r="BT100" s="496"/>
      <c r="BU100" s="496"/>
      <c r="BV100" s="496"/>
      <c r="BW100" s="496"/>
      <c r="BX100" s="496"/>
      <c r="BY100" s="496"/>
      <c r="BZ100" s="496"/>
      <c r="CA100" s="496"/>
    </row>
    <row r="101" spans="1:79" ht="23.25">
      <c r="A101" s="129"/>
      <c r="B101" s="151"/>
      <c r="C101" s="151"/>
      <c r="D101" s="151"/>
      <c r="E101" s="151"/>
      <c r="F101" s="151"/>
      <c r="G101" s="496"/>
      <c r="H101" s="496"/>
      <c r="I101" s="496"/>
      <c r="J101" s="496"/>
      <c r="K101" s="496"/>
      <c r="L101" s="496"/>
      <c r="M101" s="496"/>
      <c r="N101" s="496"/>
      <c r="O101" s="496"/>
      <c r="P101" s="496"/>
      <c r="Q101" s="496"/>
      <c r="R101" s="496"/>
      <c r="S101" s="496"/>
      <c r="T101" s="496"/>
      <c r="U101" s="496"/>
      <c r="V101" s="496"/>
      <c r="W101" s="496"/>
      <c r="X101" s="496"/>
      <c r="Y101" s="496"/>
      <c r="Z101" s="496"/>
      <c r="AA101" s="496"/>
      <c r="AB101" s="496"/>
      <c r="AC101" s="496"/>
      <c r="AD101" s="496"/>
      <c r="AE101" s="496"/>
      <c r="AF101" s="496"/>
      <c r="AG101" s="496"/>
      <c r="AH101" s="496"/>
      <c r="AI101" s="496"/>
      <c r="AJ101" s="496"/>
      <c r="AK101" s="496"/>
      <c r="AL101" s="496"/>
      <c r="AM101" s="496"/>
      <c r="AN101" s="496"/>
      <c r="AO101" s="496"/>
      <c r="AP101" s="496"/>
      <c r="AQ101" s="496"/>
      <c r="AR101" s="496"/>
      <c r="AS101" s="496"/>
      <c r="AT101" s="496"/>
      <c r="AU101" s="496"/>
      <c r="AV101" s="496"/>
      <c r="AW101" s="496"/>
      <c r="AX101" s="496"/>
      <c r="AY101" s="496"/>
      <c r="AZ101" s="496"/>
      <c r="BA101" s="496"/>
      <c r="BB101" s="496"/>
      <c r="BC101" s="496"/>
      <c r="BD101" s="496"/>
      <c r="BE101" s="496"/>
      <c r="BF101" s="496"/>
      <c r="BG101" s="496"/>
      <c r="BH101" s="496"/>
      <c r="BI101" s="496"/>
      <c r="BJ101" s="496"/>
      <c r="BK101" s="496"/>
      <c r="BL101" s="496"/>
      <c r="BM101" s="496"/>
      <c r="BN101" s="496"/>
      <c r="BO101" s="496"/>
      <c r="BP101" s="496"/>
      <c r="BQ101" s="496"/>
      <c r="BR101" s="496"/>
      <c r="BS101" s="496"/>
      <c r="BT101" s="496"/>
      <c r="BU101" s="496"/>
      <c r="BV101" s="496"/>
      <c r="BW101" s="496"/>
      <c r="BX101" s="496"/>
      <c r="BY101" s="496"/>
      <c r="BZ101" s="496"/>
      <c r="CA101" s="496"/>
    </row>
    <row r="102" spans="1:79">
      <c r="A102" s="86"/>
      <c r="B102" s="86"/>
      <c r="C102" s="86"/>
      <c r="D102" s="86"/>
      <c r="E102" s="86"/>
      <c r="F102" s="86"/>
      <c r="G102" s="496"/>
      <c r="H102" s="496"/>
      <c r="I102" s="496"/>
      <c r="J102" s="496"/>
      <c r="K102" s="496"/>
      <c r="L102" s="496"/>
      <c r="M102" s="496"/>
      <c r="N102" s="496"/>
      <c r="O102" s="496"/>
      <c r="P102" s="496"/>
      <c r="Q102" s="496"/>
      <c r="R102" s="496"/>
      <c r="S102" s="496"/>
      <c r="T102" s="496"/>
      <c r="U102" s="496"/>
      <c r="V102" s="496"/>
      <c r="W102" s="496"/>
      <c r="X102" s="496"/>
      <c r="Y102" s="496"/>
      <c r="Z102" s="496"/>
      <c r="AA102" s="496"/>
      <c r="AB102" s="496"/>
      <c r="AC102" s="496"/>
      <c r="AD102" s="496"/>
      <c r="AE102" s="496"/>
      <c r="AF102" s="496"/>
      <c r="AG102" s="496"/>
      <c r="AH102" s="496"/>
      <c r="AI102" s="496"/>
      <c r="AJ102" s="496"/>
      <c r="AK102" s="496"/>
      <c r="AL102" s="496"/>
      <c r="AM102" s="496"/>
      <c r="AN102" s="496"/>
      <c r="AO102" s="496"/>
      <c r="AP102" s="496"/>
      <c r="AQ102" s="496"/>
      <c r="AR102" s="496"/>
      <c r="AS102" s="496"/>
      <c r="AT102" s="496"/>
      <c r="AU102" s="496"/>
      <c r="AV102" s="496"/>
      <c r="AW102" s="496"/>
      <c r="AX102" s="496"/>
      <c r="AY102" s="496"/>
      <c r="AZ102" s="496"/>
      <c r="BA102" s="496"/>
      <c r="BB102" s="496"/>
      <c r="BC102" s="496"/>
      <c r="BD102" s="496"/>
      <c r="BE102" s="496"/>
      <c r="BF102" s="496"/>
      <c r="BG102" s="496"/>
      <c r="BH102" s="496"/>
      <c r="BI102" s="496"/>
      <c r="BJ102" s="496"/>
      <c r="BK102" s="496"/>
      <c r="BL102" s="496"/>
      <c r="BM102" s="496"/>
      <c r="BN102" s="496"/>
      <c r="BO102" s="496"/>
      <c r="BP102" s="496"/>
      <c r="BQ102" s="496"/>
      <c r="BR102" s="496"/>
      <c r="BS102" s="496"/>
      <c r="BT102" s="496"/>
      <c r="BU102" s="496"/>
      <c r="BV102" s="496"/>
      <c r="BW102" s="496"/>
      <c r="BX102" s="496"/>
      <c r="BY102" s="496"/>
      <c r="BZ102" s="496"/>
      <c r="CA102" s="496"/>
    </row>
    <row r="103" spans="1:79" ht="15.75">
      <c r="A103" s="131"/>
      <c r="B103" s="132"/>
      <c r="C103" s="132"/>
      <c r="D103" s="132"/>
      <c r="E103" s="132"/>
      <c r="F103" s="132"/>
      <c r="G103" s="496"/>
      <c r="H103" s="496"/>
      <c r="I103" s="496"/>
      <c r="J103" s="496"/>
      <c r="K103" s="496"/>
      <c r="L103" s="496"/>
      <c r="M103" s="496"/>
      <c r="N103" s="496"/>
      <c r="O103" s="496"/>
      <c r="P103" s="496"/>
      <c r="Q103" s="496"/>
      <c r="R103" s="496"/>
      <c r="S103" s="496"/>
      <c r="T103" s="496"/>
      <c r="U103" s="496"/>
      <c r="V103" s="496"/>
      <c r="W103" s="496"/>
      <c r="X103" s="496"/>
      <c r="Y103" s="496"/>
      <c r="Z103" s="496"/>
      <c r="AA103" s="496"/>
      <c r="AB103" s="496"/>
      <c r="AC103" s="496"/>
      <c r="AD103" s="496"/>
      <c r="AE103" s="496"/>
      <c r="AF103" s="496"/>
      <c r="AG103" s="496"/>
      <c r="AH103" s="496"/>
      <c r="AI103" s="496"/>
      <c r="AJ103" s="496"/>
      <c r="AK103" s="496"/>
      <c r="AL103" s="496"/>
      <c r="AM103" s="496"/>
      <c r="AN103" s="496"/>
      <c r="AO103" s="496"/>
      <c r="AP103" s="496"/>
      <c r="AQ103" s="496"/>
      <c r="AR103" s="496"/>
      <c r="AS103" s="496"/>
      <c r="AT103" s="496"/>
      <c r="AU103" s="496"/>
      <c r="AV103" s="496"/>
      <c r="AW103" s="496"/>
      <c r="AX103" s="496"/>
      <c r="AY103" s="496"/>
      <c r="AZ103" s="496"/>
      <c r="BA103" s="496"/>
      <c r="BB103" s="496"/>
      <c r="BC103" s="496"/>
      <c r="BD103" s="496"/>
      <c r="BE103" s="496"/>
      <c r="BF103" s="496"/>
      <c r="BG103" s="496"/>
      <c r="BH103" s="496"/>
      <c r="BI103" s="496"/>
      <c r="BJ103" s="496"/>
      <c r="BK103" s="496"/>
      <c r="BL103" s="496"/>
      <c r="BM103" s="496"/>
      <c r="BN103" s="496"/>
      <c r="BO103" s="496"/>
      <c r="BP103" s="496"/>
      <c r="BQ103" s="496"/>
      <c r="BR103" s="496"/>
      <c r="BS103" s="496"/>
      <c r="BT103" s="496"/>
      <c r="BU103" s="496"/>
      <c r="BV103" s="496"/>
      <c r="BW103" s="496"/>
      <c r="BX103" s="496"/>
      <c r="BY103" s="496"/>
      <c r="BZ103" s="496"/>
      <c r="CA103" s="496"/>
    </row>
    <row r="104" spans="1:79" ht="15.75">
      <c r="A104" s="427"/>
      <c r="B104" s="132"/>
      <c r="C104" s="132"/>
      <c r="D104" s="132"/>
      <c r="E104" s="132"/>
      <c r="F104" s="132"/>
      <c r="G104" s="496"/>
      <c r="H104" s="496"/>
      <c r="I104" s="496"/>
      <c r="J104" s="496"/>
      <c r="K104" s="496"/>
      <c r="L104" s="496"/>
      <c r="M104" s="496"/>
      <c r="N104" s="496"/>
      <c r="O104" s="496"/>
      <c r="P104" s="496"/>
      <c r="Q104" s="496"/>
      <c r="R104" s="496"/>
      <c r="S104" s="496"/>
      <c r="T104" s="496"/>
      <c r="U104" s="496"/>
      <c r="V104" s="496"/>
      <c r="W104" s="496"/>
      <c r="X104" s="496"/>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6"/>
      <c r="AY104" s="496"/>
      <c r="AZ104" s="496"/>
      <c r="BA104" s="496"/>
      <c r="BB104" s="496"/>
      <c r="BC104" s="496"/>
      <c r="BD104" s="496"/>
      <c r="BE104" s="496"/>
      <c r="BF104" s="496"/>
      <c r="BG104" s="496"/>
      <c r="BH104" s="496"/>
      <c r="BI104" s="496"/>
      <c r="BJ104" s="496"/>
      <c r="BK104" s="496"/>
      <c r="BL104" s="496"/>
      <c r="BM104" s="496"/>
      <c r="BN104" s="496"/>
      <c r="BO104" s="496"/>
      <c r="BP104" s="496"/>
      <c r="BQ104" s="496"/>
      <c r="BR104" s="496"/>
      <c r="BS104" s="496"/>
      <c r="BT104" s="496"/>
      <c r="BU104" s="496"/>
      <c r="BV104" s="496"/>
      <c r="BW104" s="496"/>
      <c r="BX104" s="496"/>
      <c r="BY104" s="496"/>
      <c r="BZ104" s="496"/>
      <c r="CA104" s="496"/>
    </row>
    <row r="105" spans="1:79" ht="15.75">
      <c r="A105" s="131"/>
      <c r="B105" s="132"/>
      <c r="C105" s="132"/>
      <c r="D105" s="132"/>
      <c r="E105" s="132"/>
      <c r="F105" s="132"/>
      <c r="G105" s="496"/>
      <c r="H105" s="496"/>
      <c r="I105" s="496"/>
      <c r="J105" s="496"/>
      <c r="K105" s="496"/>
      <c r="L105" s="496"/>
      <c r="M105" s="496"/>
      <c r="N105" s="496"/>
      <c r="O105" s="496"/>
      <c r="P105" s="496"/>
      <c r="Q105" s="496"/>
      <c r="R105" s="496"/>
      <c r="S105" s="496"/>
      <c r="T105" s="496"/>
      <c r="U105" s="496"/>
      <c r="V105" s="496"/>
      <c r="W105" s="496"/>
      <c r="X105" s="496"/>
      <c r="Y105" s="496"/>
      <c r="Z105" s="496"/>
      <c r="AA105" s="496"/>
      <c r="AB105" s="496"/>
      <c r="AC105" s="496"/>
      <c r="AD105" s="496"/>
      <c r="AE105" s="496"/>
      <c r="AF105" s="496"/>
      <c r="AG105" s="496"/>
      <c r="AH105" s="496"/>
      <c r="AI105" s="496"/>
      <c r="AJ105" s="496"/>
      <c r="AK105" s="496"/>
      <c r="AL105" s="496"/>
      <c r="AM105" s="496"/>
      <c r="AN105" s="496"/>
      <c r="AO105" s="496"/>
      <c r="AP105" s="496"/>
      <c r="AQ105" s="496"/>
      <c r="AR105" s="496"/>
      <c r="AS105" s="496"/>
      <c r="AT105" s="496"/>
      <c r="AU105" s="496"/>
      <c r="AV105" s="496"/>
      <c r="AW105" s="496"/>
      <c r="AX105" s="496"/>
      <c r="AY105" s="496"/>
      <c r="AZ105" s="496"/>
      <c r="BA105" s="496"/>
      <c r="BB105" s="496"/>
      <c r="BC105" s="496"/>
      <c r="BD105" s="496"/>
      <c r="BE105" s="496"/>
      <c r="BF105" s="496"/>
      <c r="BG105" s="496"/>
      <c r="BH105" s="496"/>
      <c r="BI105" s="496"/>
      <c r="BJ105" s="496"/>
      <c r="BK105" s="496"/>
      <c r="BL105" s="496"/>
      <c r="BM105" s="496"/>
      <c r="BN105" s="496"/>
      <c r="BO105" s="496"/>
      <c r="BP105" s="496"/>
      <c r="BQ105" s="496"/>
      <c r="BR105" s="496"/>
      <c r="BS105" s="496"/>
      <c r="BT105" s="496"/>
      <c r="BU105" s="496"/>
      <c r="BV105" s="496"/>
      <c r="BW105" s="496"/>
      <c r="BX105" s="496"/>
      <c r="BY105" s="496"/>
      <c r="BZ105" s="496"/>
      <c r="CA105" s="496"/>
    </row>
    <row r="106" spans="1:79">
      <c r="A106" s="86"/>
      <c r="B106" s="86"/>
      <c r="C106" s="86"/>
      <c r="D106" s="86"/>
      <c r="E106" s="86"/>
      <c r="F106" s="86"/>
      <c r="G106" s="496"/>
      <c r="H106" s="496"/>
      <c r="I106" s="496"/>
      <c r="J106" s="496"/>
      <c r="K106" s="496"/>
      <c r="L106" s="496"/>
      <c r="M106" s="496"/>
      <c r="N106" s="496"/>
      <c r="O106" s="496"/>
      <c r="P106" s="496"/>
      <c r="Q106" s="496"/>
      <c r="R106" s="496"/>
      <c r="S106" s="496"/>
      <c r="T106" s="496"/>
      <c r="U106" s="496"/>
      <c r="V106" s="496"/>
      <c r="W106" s="496"/>
      <c r="X106" s="496"/>
      <c r="Y106" s="496"/>
      <c r="Z106" s="496"/>
      <c r="AA106" s="496"/>
      <c r="AB106" s="496"/>
      <c r="AC106" s="496"/>
      <c r="AD106" s="496"/>
      <c r="AE106" s="496"/>
      <c r="AF106" s="496"/>
      <c r="AG106" s="496"/>
      <c r="AH106" s="496"/>
      <c r="AI106" s="496"/>
      <c r="AJ106" s="496"/>
      <c r="AK106" s="496"/>
      <c r="AL106" s="496"/>
      <c r="AM106" s="496"/>
      <c r="AN106" s="496"/>
      <c r="AO106" s="496"/>
      <c r="AP106" s="496"/>
      <c r="AQ106" s="496"/>
      <c r="AR106" s="496"/>
      <c r="AS106" s="496"/>
      <c r="AT106" s="496"/>
      <c r="AU106" s="496"/>
      <c r="AV106" s="496"/>
      <c r="AW106" s="496"/>
      <c r="AX106" s="496"/>
      <c r="AY106" s="496"/>
      <c r="AZ106" s="496"/>
      <c r="BA106" s="496"/>
      <c r="BB106" s="496"/>
      <c r="BC106" s="496"/>
      <c r="BD106" s="496"/>
      <c r="BE106" s="496"/>
      <c r="BF106" s="496"/>
      <c r="BG106" s="496"/>
      <c r="BH106" s="496"/>
      <c r="BI106" s="496"/>
      <c r="BJ106" s="496"/>
      <c r="BK106" s="496"/>
      <c r="BL106" s="496"/>
      <c r="BM106" s="496"/>
      <c r="BN106" s="496"/>
      <c r="BO106" s="496"/>
      <c r="BP106" s="496"/>
      <c r="BQ106" s="496"/>
      <c r="BR106" s="496"/>
      <c r="BS106" s="496"/>
      <c r="BT106" s="496"/>
      <c r="BU106" s="496"/>
      <c r="BV106" s="496"/>
      <c r="BW106" s="496"/>
      <c r="BX106" s="496"/>
      <c r="BY106" s="496"/>
      <c r="BZ106" s="496"/>
      <c r="CA106" s="496"/>
    </row>
    <row r="107" spans="1:79" ht="23.25">
      <c r="A107" s="129"/>
      <c r="B107" s="151"/>
      <c r="C107" s="151"/>
      <c r="D107" s="151"/>
      <c r="E107" s="151"/>
      <c r="F107" s="151"/>
      <c r="G107" s="496"/>
      <c r="H107" s="496"/>
      <c r="I107" s="496"/>
      <c r="J107" s="496"/>
      <c r="K107" s="496"/>
      <c r="L107" s="496"/>
      <c r="M107" s="496"/>
      <c r="N107" s="496"/>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6"/>
      <c r="AJ107" s="496"/>
      <c r="AK107" s="496"/>
      <c r="AL107" s="496"/>
      <c r="AM107" s="496"/>
      <c r="AN107" s="496"/>
      <c r="AO107" s="496"/>
      <c r="AP107" s="496"/>
      <c r="AQ107" s="496"/>
      <c r="AR107" s="496"/>
      <c r="AS107" s="496"/>
      <c r="AT107" s="496"/>
      <c r="AU107" s="496"/>
      <c r="AV107" s="496"/>
      <c r="AW107" s="496"/>
      <c r="AX107" s="496"/>
      <c r="AY107" s="496"/>
      <c r="AZ107" s="496"/>
      <c r="BA107" s="496"/>
      <c r="BB107" s="496"/>
      <c r="BC107" s="496"/>
      <c r="BD107" s="496"/>
      <c r="BE107" s="496"/>
      <c r="BF107" s="496"/>
      <c r="BG107" s="496"/>
      <c r="BH107" s="496"/>
      <c r="BI107" s="496"/>
      <c r="BJ107" s="496"/>
      <c r="BK107" s="496"/>
      <c r="BL107" s="496"/>
      <c r="BM107" s="496"/>
      <c r="BN107" s="496"/>
      <c r="BO107" s="496"/>
      <c r="BP107" s="496"/>
      <c r="BQ107" s="496"/>
      <c r="BR107" s="496"/>
      <c r="BS107" s="496"/>
      <c r="BT107" s="496"/>
      <c r="BU107" s="496"/>
      <c r="BV107" s="496"/>
      <c r="BW107" s="496"/>
      <c r="BX107" s="496"/>
      <c r="BY107" s="496"/>
      <c r="BZ107" s="496"/>
      <c r="CA107" s="496"/>
    </row>
    <row r="108" spans="1:79">
      <c r="A108" s="86"/>
      <c r="B108" s="86"/>
      <c r="C108" s="86"/>
      <c r="D108" s="86"/>
      <c r="E108" s="86"/>
      <c r="F108" s="425"/>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6"/>
      <c r="AD108" s="496"/>
      <c r="AE108" s="496"/>
      <c r="AF108" s="496"/>
      <c r="AG108" s="496"/>
      <c r="AH108" s="496"/>
      <c r="AI108" s="496"/>
      <c r="AJ108" s="496"/>
      <c r="AK108" s="496"/>
      <c r="AL108" s="496"/>
      <c r="AM108" s="496"/>
      <c r="AN108" s="496"/>
      <c r="AO108" s="496"/>
      <c r="AP108" s="496"/>
      <c r="AQ108" s="496"/>
      <c r="AR108" s="496"/>
      <c r="AS108" s="496"/>
      <c r="AT108" s="496"/>
      <c r="AU108" s="496"/>
      <c r="AV108" s="496"/>
      <c r="AW108" s="496"/>
      <c r="AX108" s="496"/>
      <c r="AY108" s="496"/>
      <c r="AZ108" s="496"/>
      <c r="BA108" s="496"/>
      <c r="BB108" s="496"/>
      <c r="BC108" s="496"/>
      <c r="BD108" s="496"/>
      <c r="BE108" s="496"/>
      <c r="BF108" s="496"/>
      <c r="BG108" s="496"/>
      <c r="BH108" s="496"/>
      <c r="BI108" s="496"/>
      <c r="BJ108" s="496"/>
      <c r="BK108" s="496"/>
      <c r="BL108" s="496"/>
      <c r="BM108" s="496"/>
      <c r="BN108" s="496"/>
      <c r="BO108" s="496"/>
      <c r="BP108" s="496"/>
      <c r="BQ108" s="496"/>
      <c r="BR108" s="496"/>
      <c r="BS108" s="496"/>
      <c r="BT108" s="496"/>
      <c r="BU108" s="496"/>
      <c r="BV108" s="496"/>
      <c r="BW108" s="496"/>
      <c r="BX108" s="496"/>
      <c r="BY108" s="496"/>
      <c r="BZ108" s="496"/>
      <c r="CA108" s="496"/>
    </row>
    <row r="109" spans="1:79" ht="15.75">
      <c r="A109" s="131"/>
      <c r="B109" s="132"/>
      <c r="C109" s="132"/>
      <c r="D109" s="132"/>
      <c r="E109" s="132"/>
      <c r="F109" s="428"/>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496"/>
      <c r="AK109" s="496"/>
      <c r="AL109" s="496"/>
      <c r="AM109" s="496"/>
      <c r="AN109" s="496"/>
      <c r="AO109" s="496"/>
      <c r="AP109" s="496"/>
      <c r="AQ109" s="496"/>
      <c r="AR109" s="496"/>
      <c r="AS109" s="496"/>
      <c r="AT109" s="496"/>
      <c r="AU109" s="496"/>
      <c r="AV109" s="496"/>
      <c r="AW109" s="496"/>
      <c r="AX109" s="496"/>
      <c r="AY109" s="496"/>
      <c r="AZ109" s="496"/>
      <c r="BA109" s="496"/>
      <c r="BB109" s="496"/>
      <c r="BC109" s="496"/>
      <c r="BD109" s="496"/>
      <c r="BE109" s="496"/>
      <c r="BF109" s="496"/>
      <c r="BG109" s="496"/>
      <c r="BH109" s="496"/>
      <c r="BI109" s="496"/>
      <c r="BJ109" s="496"/>
      <c r="BK109" s="496"/>
      <c r="BL109" s="496"/>
      <c r="BM109" s="496"/>
      <c r="BN109" s="496"/>
      <c r="BO109" s="496"/>
      <c r="BP109" s="496"/>
      <c r="BQ109" s="496"/>
      <c r="BR109" s="496"/>
      <c r="BS109" s="496"/>
      <c r="BT109" s="496"/>
      <c r="BU109" s="496"/>
      <c r="BV109" s="496"/>
      <c r="BW109" s="496"/>
      <c r="BX109" s="496"/>
      <c r="BY109" s="496"/>
      <c r="BZ109" s="496"/>
      <c r="CA109" s="496"/>
    </row>
    <row r="110" spans="1:79" ht="15.75">
      <c r="A110" s="427"/>
      <c r="B110" s="132"/>
      <c r="C110" s="132"/>
      <c r="D110" s="132"/>
      <c r="E110" s="132"/>
      <c r="F110" s="428"/>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96"/>
      <c r="AR110" s="496"/>
      <c r="AS110" s="496"/>
      <c r="AT110" s="496"/>
      <c r="AU110" s="496"/>
      <c r="AV110" s="496"/>
      <c r="AW110" s="496"/>
      <c r="AX110" s="496"/>
      <c r="AY110" s="496"/>
      <c r="AZ110" s="496"/>
      <c r="BA110" s="496"/>
      <c r="BB110" s="496"/>
      <c r="BC110" s="496"/>
      <c r="BD110" s="496"/>
      <c r="BE110" s="496"/>
      <c r="BF110" s="496"/>
      <c r="BG110" s="496"/>
      <c r="BH110" s="496"/>
      <c r="BI110" s="496"/>
      <c r="BJ110" s="496"/>
      <c r="BK110" s="496"/>
      <c r="BL110" s="496"/>
      <c r="BM110" s="496"/>
      <c r="BN110" s="496"/>
      <c r="BO110" s="496"/>
      <c r="BP110" s="496"/>
      <c r="BQ110" s="496"/>
      <c r="BR110" s="496"/>
      <c r="BS110" s="496"/>
      <c r="BT110" s="496"/>
      <c r="BU110" s="496"/>
      <c r="BV110" s="496"/>
      <c r="BW110" s="496"/>
      <c r="BX110" s="496"/>
      <c r="BY110" s="496"/>
      <c r="BZ110" s="496"/>
      <c r="CA110" s="496"/>
    </row>
    <row r="111" spans="1:79" ht="15.75">
      <c r="A111" s="131"/>
      <c r="B111" s="132"/>
      <c r="C111" s="132"/>
      <c r="D111" s="132"/>
      <c r="E111" s="132"/>
      <c r="F111" s="428"/>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6"/>
      <c r="AK111" s="496"/>
      <c r="AL111" s="496"/>
      <c r="AM111" s="496"/>
      <c r="AN111" s="496"/>
      <c r="AO111" s="496"/>
      <c r="AP111" s="496"/>
      <c r="AQ111" s="496"/>
      <c r="AR111" s="496"/>
      <c r="AS111" s="496"/>
      <c r="AT111" s="496"/>
      <c r="AU111" s="496"/>
      <c r="AV111" s="496"/>
      <c r="AW111" s="496"/>
      <c r="AX111" s="496"/>
      <c r="AY111" s="496"/>
      <c r="AZ111" s="496"/>
      <c r="BA111" s="496"/>
      <c r="BB111" s="496"/>
      <c r="BC111" s="496"/>
      <c r="BD111" s="496"/>
      <c r="BE111" s="496"/>
      <c r="BF111" s="496"/>
      <c r="BG111" s="496"/>
      <c r="BH111" s="496"/>
      <c r="BI111" s="496"/>
      <c r="BJ111" s="496"/>
      <c r="BK111" s="496"/>
      <c r="BL111" s="496"/>
      <c r="BM111" s="496"/>
      <c r="BN111" s="496"/>
      <c r="BO111" s="496"/>
      <c r="BP111" s="496"/>
      <c r="BQ111" s="496"/>
      <c r="BR111" s="496"/>
      <c r="BS111" s="496"/>
      <c r="BT111" s="496"/>
      <c r="BU111" s="496"/>
      <c r="BV111" s="496"/>
      <c r="BW111" s="496"/>
      <c r="BX111" s="496"/>
      <c r="BY111" s="496"/>
      <c r="BZ111" s="496"/>
      <c r="CA111" s="496"/>
    </row>
    <row r="112" spans="1:79" ht="40.5">
      <c r="A112" s="152"/>
      <c r="B112" s="86"/>
      <c r="C112" s="86"/>
      <c r="D112" s="86"/>
      <c r="E112" s="86"/>
      <c r="F112" s="425"/>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496"/>
      <c r="AE112" s="496"/>
      <c r="AF112" s="496"/>
      <c r="AG112" s="496"/>
      <c r="AH112" s="496"/>
      <c r="AI112" s="496"/>
      <c r="AJ112" s="496"/>
      <c r="AK112" s="496"/>
      <c r="AL112" s="496"/>
      <c r="AM112" s="496"/>
      <c r="AN112" s="496"/>
      <c r="AO112" s="496"/>
      <c r="AP112" s="496"/>
      <c r="AQ112" s="496"/>
      <c r="AR112" s="496"/>
      <c r="AS112" s="496"/>
      <c r="AT112" s="496"/>
      <c r="AU112" s="496"/>
      <c r="AV112" s="496"/>
      <c r="AW112" s="496"/>
      <c r="AX112" s="496"/>
      <c r="AY112" s="496"/>
      <c r="AZ112" s="496"/>
      <c r="BA112" s="496"/>
      <c r="BB112" s="496"/>
      <c r="BC112" s="496"/>
      <c r="BD112" s="496"/>
      <c r="BE112" s="496"/>
      <c r="BF112" s="496"/>
      <c r="BG112" s="496"/>
      <c r="BH112" s="496"/>
      <c r="BI112" s="496"/>
      <c r="BJ112" s="496"/>
      <c r="BK112" s="496"/>
      <c r="BL112" s="496"/>
      <c r="BM112" s="496"/>
      <c r="BN112" s="496"/>
      <c r="BO112" s="496"/>
      <c r="BP112" s="496"/>
      <c r="BQ112" s="496"/>
      <c r="BR112" s="496"/>
      <c r="BS112" s="496"/>
      <c r="BT112" s="496"/>
      <c r="BU112" s="496"/>
      <c r="BV112" s="496"/>
      <c r="BW112" s="496"/>
      <c r="BX112" s="496"/>
      <c r="BY112" s="496"/>
      <c r="BZ112" s="496"/>
      <c r="CA112" s="496"/>
    </row>
    <row r="113" spans="1:79" ht="23.25">
      <c r="A113" s="86"/>
      <c r="B113" s="129"/>
      <c r="C113" s="129"/>
      <c r="D113" s="129"/>
      <c r="E113" s="86"/>
      <c r="F113" s="8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496"/>
      <c r="AE113" s="496"/>
      <c r="AF113" s="496"/>
      <c r="AG113" s="496"/>
      <c r="AH113" s="496"/>
      <c r="AI113" s="496"/>
      <c r="AJ113" s="496"/>
      <c r="AK113" s="496"/>
      <c r="AL113" s="496"/>
      <c r="AM113" s="496"/>
      <c r="AN113" s="496"/>
      <c r="AO113" s="496"/>
      <c r="AP113" s="496"/>
      <c r="AQ113" s="496"/>
      <c r="AR113" s="496"/>
      <c r="AS113" s="496"/>
      <c r="AT113" s="496"/>
      <c r="AU113" s="496"/>
      <c r="AV113" s="496"/>
      <c r="AW113" s="496"/>
      <c r="AX113" s="496"/>
      <c r="AY113" s="496"/>
      <c r="AZ113" s="496"/>
      <c r="BA113" s="496"/>
      <c r="BB113" s="496"/>
      <c r="BC113" s="496"/>
      <c r="BD113" s="496"/>
      <c r="BE113" s="496"/>
      <c r="BF113" s="496"/>
      <c r="BG113" s="496"/>
      <c r="BH113" s="496"/>
      <c r="BI113" s="496"/>
      <c r="BJ113" s="496"/>
      <c r="BK113" s="496"/>
      <c r="BL113" s="496"/>
      <c r="BM113" s="496"/>
      <c r="BN113" s="496"/>
      <c r="BO113" s="496"/>
      <c r="BP113" s="496"/>
      <c r="BQ113" s="496"/>
      <c r="BR113" s="496"/>
      <c r="BS113" s="496"/>
      <c r="BT113" s="496"/>
      <c r="BU113" s="496"/>
      <c r="BV113" s="496"/>
      <c r="BW113" s="496"/>
      <c r="BX113" s="496"/>
      <c r="BY113" s="496"/>
      <c r="BZ113" s="496"/>
      <c r="CA113" s="496"/>
    </row>
    <row r="114" spans="1:79" ht="15.75">
      <c r="A114" s="131"/>
      <c r="B114" s="132"/>
      <c r="C114" s="132"/>
      <c r="D114" s="132"/>
      <c r="E114" s="86"/>
      <c r="F114" s="86"/>
      <c r="G114" s="496"/>
      <c r="H114" s="496"/>
      <c r="I114" s="496"/>
      <c r="J114" s="496"/>
      <c r="K114" s="496"/>
      <c r="L114" s="496"/>
      <c r="M114" s="496"/>
      <c r="N114" s="496"/>
      <c r="O114" s="496"/>
      <c r="P114" s="496"/>
      <c r="Q114" s="496"/>
      <c r="R114" s="496"/>
      <c r="S114" s="496"/>
      <c r="T114" s="496"/>
      <c r="U114" s="496"/>
      <c r="V114" s="496"/>
      <c r="W114" s="496"/>
      <c r="X114" s="496"/>
      <c r="Y114" s="496"/>
      <c r="Z114" s="496"/>
      <c r="AA114" s="496"/>
      <c r="AB114" s="496"/>
      <c r="AC114" s="496"/>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6"/>
      <c r="AY114" s="496"/>
      <c r="AZ114" s="496"/>
      <c r="BA114" s="496"/>
      <c r="BB114" s="496"/>
      <c r="BC114" s="496"/>
      <c r="BD114" s="496"/>
      <c r="BE114" s="496"/>
      <c r="BF114" s="496"/>
      <c r="BG114" s="496"/>
      <c r="BH114" s="496"/>
      <c r="BI114" s="496"/>
      <c r="BJ114" s="496"/>
      <c r="BK114" s="496"/>
      <c r="BL114" s="496"/>
      <c r="BM114" s="496"/>
      <c r="BN114" s="496"/>
      <c r="BO114" s="496"/>
      <c r="BP114" s="496"/>
      <c r="BQ114" s="496"/>
      <c r="BR114" s="496"/>
      <c r="BS114" s="496"/>
      <c r="BT114" s="496"/>
      <c r="BU114" s="496"/>
      <c r="BV114" s="496"/>
      <c r="BW114" s="496"/>
      <c r="BX114" s="496"/>
      <c r="BY114" s="496"/>
      <c r="BZ114" s="496"/>
      <c r="CA114" s="496"/>
    </row>
    <row r="115" spans="1:79" ht="15.75">
      <c r="A115" s="427"/>
      <c r="B115" s="132"/>
      <c r="C115" s="132"/>
      <c r="D115" s="132"/>
      <c r="E115" s="86"/>
      <c r="F115" s="86"/>
      <c r="G115" s="496"/>
      <c r="H115" s="496"/>
      <c r="I115" s="496"/>
      <c r="J115" s="496"/>
      <c r="K115" s="496"/>
      <c r="L115" s="496"/>
      <c r="M115" s="496"/>
      <c r="N115" s="496"/>
      <c r="O115" s="496"/>
      <c r="P115" s="496"/>
      <c r="Q115" s="496"/>
      <c r="R115" s="496"/>
      <c r="S115" s="496"/>
      <c r="T115" s="496"/>
      <c r="U115" s="496"/>
      <c r="V115" s="496"/>
      <c r="W115" s="496"/>
      <c r="X115" s="496"/>
      <c r="Y115" s="496"/>
      <c r="Z115" s="496"/>
      <c r="AA115" s="496"/>
      <c r="AB115" s="496"/>
      <c r="AC115" s="496"/>
      <c r="AD115" s="496"/>
      <c r="AE115" s="496"/>
      <c r="AF115" s="496"/>
      <c r="AG115" s="496"/>
      <c r="AH115" s="496"/>
      <c r="AI115" s="496"/>
      <c r="AJ115" s="496"/>
      <c r="AK115" s="496"/>
      <c r="AL115" s="496"/>
      <c r="AM115" s="496"/>
      <c r="AN115" s="496"/>
      <c r="AO115" s="496"/>
      <c r="AP115" s="496"/>
      <c r="AQ115" s="496"/>
      <c r="AR115" s="496"/>
      <c r="AS115" s="496"/>
      <c r="AT115" s="496"/>
      <c r="AU115" s="496"/>
      <c r="AV115" s="496"/>
      <c r="AW115" s="496"/>
      <c r="AX115" s="496"/>
      <c r="AY115" s="496"/>
      <c r="AZ115" s="496"/>
      <c r="BA115" s="496"/>
      <c r="BB115" s="496"/>
      <c r="BC115" s="496"/>
      <c r="BD115" s="496"/>
      <c r="BE115" s="496"/>
      <c r="BF115" s="496"/>
      <c r="BG115" s="496"/>
      <c r="BH115" s="496"/>
      <c r="BI115" s="496"/>
      <c r="BJ115" s="496"/>
      <c r="BK115" s="496"/>
      <c r="BL115" s="496"/>
      <c r="BM115" s="496"/>
      <c r="BN115" s="496"/>
      <c r="BO115" s="496"/>
      <c r="BP115" s="496"/>
      <c r="BQ115" s="496"/>
      <c r="BR115" s="496"/>
      <c r="BS115" s="496"/>
      <c r="BT115" s="496"/>
      <c r="BU115" s="496"/>
      <c r="BV115" s="496"/>
      <c r="BW115" s="496"/>
      <c r="BX115" s="496"/>
      <c r="BY115" s="496"/>
      <c r="BZ115" s="496"/>
      <c r="CA115" s="496"/>
    </row>
    <row r="116" spans="1:79" ht="15" customHeight="1">
      <c r="A116" s="131"/>
      <c r="B116" s="132"/>
      <c r="C116" s="132"/>
      <c r="D116" s="132"/>
      <c r="E116" s="86"/>
      <c r="F116" s="86"/>
      <c r="G116" s="496"/>
      <c r="H116" s="496"/>
      <c r="I116" s="496"/>
      <c r="J116" s="496"/>
      <c r="K116" s="496"/>
      <c r="L116" s="496"/>
      <c r="M116" s="496"/>
      <c r="N116" s="496"/>
      <c r="O116" s="496"/>
      <c r="P116" s="496"/>
      <c r="Q116" s="496"/>
      <c r="R116" s="496"/>
      <c r="S116" s="496"/>
      <c r="T116" s="496"/>
      <c r="U116" s="496"/>
      <c r="V116" s="496"/>
      <c r="W116" s="496"/>
      <c r="X116" s="496"/>
      <c r="Y116" s="496"/>
      <c r="Z116" s="496"/>
      <c r="AA116" s="496"/>
      <c r="AB116" s="496"/>
      <c r="AC116" s="496"/>
      <c r="AD116" s="496"/>
      <c r="AE116" s="496"/>
      <c r="AF116" s="496"/>
      <c r="AG116" s="496"/>
      <c r="AH116" s="496"/>
      <c r="AI116" s="496"/>
      <c r="AJ116" s="496"/>
      <c r="AK116" s="496"/>
      <c r="AL116" s="496"/>
      <c r="AM116" s="496"/>
      <c r="AN116" s="496"/>
      <c r="AO116" s="496"/>
      <c r="AP116" s="496"/>
      <c r="AQ116" s="496"/>
      <c r="AR116" s="496"/>
      <c r="AS116" s="496"/>
      <c r="AT116" s="496"/>
      <c r="AU116" s="496"/>
      <c r="AV116" s="496"/>
      <c r="AW116" s="496"/>
      <c r="AX116" s="496"/>
      <c r="AY116" s="496"/>
      <c r="AZ116" s="496"/>
      <c r="BA116" s="496"/>
      <c r="BB116" s="496"/>
      <c r="BC116" s="496"/>
      <c r="BD116" s="496"/>
      <c r="BE116" s="496"/>
      <c r="BF116" s="496"/>
      <c r="BG116" s="496"/>
      <c r="BH116" s="496"/>
      <c r="BI116" s="496"/>
      <c r="BJ116" s="496"/>
      <c r="BK116" s="496"/>
      <c r="BL116" s="496"/>
      <c r="BM116" s="496"/>
      <c r="BN116" s="496"/>
      <c r="BO116" s="496"/>
      <c r="BP116" s="496"/>
      <c r="BQ116" s="496"/>
      <c r="BR116" s="496"/>
      <c r="BS116" s="496"/>
      <c r="BT116" s="496"/>
      <c r="BU116" s="496"/>
      <c r="BV116" s="496"/>
      <c r="BW116" s="496"/>
      <c r="BX116" s="496"/>
      <c r="BY116" s="496"/>
      <c r="BZ116" s="496"/>
      <c r="CA116" s="496"/>
    </row>
    <row r="117" spans="1:79" ht="38.25">
      <c r="A117" s="153"/>
      <c r="B117" s="150"/>
      <c r="C117" s="86"/>
      <c r="D117" s="86"/>
      <c r="E117" s="86"/>
      <c r="F117" s="86"/>
      <c r="G117" s="496"/>
      <c r="H117" s="496"/>
      <c r="I117" s="496"/>
      <c r="J117" s="496"/>
      <c r="K117" s="496"/>
      <c r="L117" s="496"/>
      <c r="M117" s="496"/>
      <c r="N117" s="496"/>
      <c r="O117" s="496"/>
      <c r="P117" s="496"/>
      <c r="Q117" s="496"/>
      <c r="R117" s="496"/>
      <c r="S117" s="496"/>
      <c r="T117" s="496"/>
      <c r="U117" s="496"/>
      <c r="V117" s="496"/>
      <c r="W117" s="496"/>
      <c r="X117" s="496"/>
      <c r="Y117" s="496"/>
      <c r="Z117" s="496"/>
      <c r="AA117" s="496"/>
      <c r="AB117" s="496"/>
      <c r="AC117" s="496"/>
      <c r="AD117" s="496"/>
      <c r="AE117" s="496"/>
      <c r="AF117" s="496"/>
      <c r="AG117" s="496"/>
      <c r="AH117" s="496"/>
      <c r="AI117" s="496"/>
      <c r="AJ117" s="496"/>
      <c r="AK117" s="496"/>
      <c r="AL117" s="496"/>
      <c r="AM117" s="496"/>
      <c r="AN117" s="496"/>
      <c r="AO117" s="496"/>
      <c r="AP117" s="496"/>
      <c r="AQ117" s="496"/>
      <c r="AR117" s="496"/>
      <c r="AS117" s="496"/>
      <c r="AT117" s="496"/>
      <c r="AU117" s="496"/>
      <c r="AV117" s="496"/>
      <c r="AW117" s="496"/>
      <c r="AX117" s="496"/>
      <c r="AY117" s="496"/>
      <c r="AZ117" s="496"/>
      <c r="BA117" s="496"/>
      <c r="BB117" s="496"/>
      <c r="BC117" s="496"/>
      <c r="BD117" s="496"/>
      <c r="BE117" s="496"/>
      <c r="BF117" s="496"/>
      <c r="BG117" s="496"/>
      <c r="BH117" s="496"/>
      <c r="BI117" s="496"/>
      <c r="BJ117" s="496"/>
      <c r="BK117" s="496"/>
      <c r="BL117" s="496"/>
      <c r="BM117" s="496"/>
      <c r="BN117" s="496"/>
      <c r="BO117" s="496"/>
      <c r="BP117" s="496"/>
      <c r="BQ117" s="496"/>
      <c r="BR117" s="496"/>
      <c r="BS117" s="496"/>
      <c r="BT117" s="496"/>
      <c r="BU117" s="496"/>
      <c r="BV117" s="496"/>
      <c r="BW117" s="496"/>
      <c r="BX117" s="496"/>
      <c r="BY117" s="496"/>
      <c r="BZ117" s="496"/>
      <c r="CA117" s="496"/>
    </row>
    <row r="118" spans="1:79" ht="23.25">
      <c r="A118" s="132"/>
      <c r="B118" s="129"/>
      <c r="C118" s="129"/>
      <c r="D118" s="129"/>
      <c r="E118" s="86"/>
      <c r="F118" s="86"/>
      <c r="G118" s="496"/>
      <c r="H118" s="496"/>
      <c r="I118" s="496"/>
      <c r="J118" s="496"/>
      <c r="K118" s="496"/>
      <c r="L118" s="496"/>
      <c r="M118" s="496"/>
      <c r="N118" s="496"/>
      <c r="O118" s="496"/>
      <c r="P118" s="496"/>
      <c r="Q118" s="496"/>
      <c r="R118" s="496"/>
      <c r="S118" s="496"/>
      <c r="T118" s="496"/>
      <c r="U118" s="496"/>
      <c r="V118" s="496"/>
      <c r="W118" s="496"/>
      <c r="X118" s="496"/>
      <c r="Y118" s="496"/>
      <c r="Z118" s="496"/>
      <c r="AA118" s="496"/>
      <c r="AB118" s="496"/>
      <c r="AC118" s="496"/>
      <c r="AD118" s="496"/>
      <c r="AE118" s="496"/>
      <c r="AF118" s="496"/>
      <c r="AG118" s="496"/>
      <c r="AH118" s="496"/>
      <c r="AI118" s="496"/>
      <c r="AJ118" s="496"/>
      <c r="AK118" s="496"/>
      <c r="AL118" s="496"/>
      <c r="AM118" s="496"/>
      <c r="AN118" s="496"/>
      <c r="AO118" s="496"/>
      <c r="AP118" s="496"/>
      <c r="AQ118" s="496"/>
      <c r="AR118" s="496"/>
      <c r="AS118" s="496"/>
      <c r="AT118" s="496"/>
      <c r="AU118" s="496"/>
      <c r="AV118" s="496"/>
      <c r="AW118" s="496"/>
      <c r="AX118" s="496"/>
      <c r="AY118" s="496"/>
      <c r="AZ118" s="496"/>
      <c r="BA118" s="496"/>
      <c r="BB118" s="496"/>
      <c r="BC118" s="496"/>
      <c r="BD118" s="496"/>
      <c r="BE118" s="496"/>
      <c r="BF118" s="496"/>
      <c r="BG118" s="496"/>
      <c r="BH118" s="496"/>
      <c r="BI118" s="496"/>
      <c r="BJ118" s="496"/>
      <c r="BK118" s="496"/>
      <c r="BL118" s="496"/>
      <c r="BM118" s="496"/>
      <c r="BN118" s="496"/>
      <c r="BO118" s="496"/>
      <c r="BP118" s="496"/>
      <c r="BQ118" s="496"/>
      <c r="BR118" s="496"/>
      <c r="BS118" s="496"/>
      <c r="BT118" s="496"/>
      <c r="BU118" s="496"/>
      <c r="BV118" s="496"/>
      <c r="BW118" s="496"/>
      <c r="BX118" s="496"/>
      <c r="BY118" s="496"/>
      <c r="BZ118" s="496"/>
      <c r="CA118" s="496"/>
    </row>
    <row r="119" spans="1:79">
      <c r="A119" s="86"/>
      <c r="B119" s="150"/>
      <c r="C119" s="86"/>
      <c r="D119" s="86"/>
      <c r="E119" s="86"/>
      <c r="F119" s="86"/>
      <c r="G119" s="496"/>
      <c r="H119" s="496"/>
      <c r="I119" s="496"/>
      <c r="J119" s="496"/>
      <c r="K119" s="496"/>
      <c r="L119" s="496"/>
      <c r="M119" s="496"/>
      <c r="N119" s="496"/>
      <c r="O119" s="496"/>
      <c r="P119" s="496"/>
      <c r="Q119" s="496"/>
      <c r="R119" s="496"/>
      <c r="S119" s="496"/>
      <c r="T119" s="496"/>
      <c r="U119" s="496"/>
      <c r="V119" s="496"/>
      <c r="W119" s="496"/>
      <c r="X119" s="496"/>
      <c r="Y119" s="496"/>
      <c r="Z119" s="496"/>
      <c r="AA119" s="496"/>
      <c r="AB119" s="496"/>
      <c r="AC119" s="496"/>
      <c r="AD119" s="496"/>
      <c r="AE119" s="496"/>
      <c r="AF119" s="496"/>
      <c r="AG119" s="496"/>
      <c r="AH119" s="496"/>
      <c r="AI119" s="496"/>
      <c r="AJ119" s="496"/>
      <c r="AK119" s="496"/>
      <c r="AL119" s="496"/>
      <c r="AM119" s="496"/>
      <c r="AN119" s="496"/>
      <c r="AO119" s="496"/>
      <c r="AP119" s="496"/>
      <c r="AQ119" s="496"/>
      <c r="AR119" s="496"/>
      <c r="AS119" s="496"/>
      <c r="AT119" s="496"/>
      <c r="AU119" s="496"/>
      <c r="AV119" s="496"/>
      <c r="AW119" s="496"/>
      <c r="AX119" s="496"/>
      <c r="AY119" s="496"/>
      <c r="AZ119" s="496"/>
      <c r="BA119" s="496"/>
      <c r="BB119" s="496"/>
      <c r="BC119" s="496"/>
      <c r="BD119" s="496"/>
      <c r="BE119" s="496"/>
      <c r="BF119" s="496"/>
      <c r="BG119" s="496"/>
      <c r="BH119" s="496"/>
      <c r="BI119" s="496"/>
      <c r="BJ119" s="496"/>
      <c r="BK119" s="496"/>
      <c r="BL119" s="496"/>
      <c r="BM119" s="496"/>
      <c r="BN119" s="496"/>
      <c r="BO119" s="496"/>
      <c r="BP119" s="496"/>
      <c r="BQ119" s="496"/>
      <c r="BR119" s="496"/>
      <c r="BS119" s="496"/>
      <c r="BT119" s="496"/>
      <c r="BU119" s="496"/>
      <c r="BV119" s="496"/>
      <c r="BW119" s="496"/>
      <c r="BX119" s="496"/>
      <c r="BY119" s="496"/>
      <c r="BZ119" s="496"/>
      <c r="CA119" s="496"/>
    </row>
    <row r="120" spans="1:79" ht="15.75">
      <c r="A120" s="131"/>
      <c r="B120" s="132"/>
      <c r="C120" s="132"/>
      <c r="D120" s="132"/>
      <c r="E120" s="86"/>
      <c r="F120" s="8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6"/>
      <c r="AJ120" s="496"/>
      <c r="AK120" s="496"/>
      <c r="AL120" s="496"/>
      <c r="AM120" s="496"/>
      <c r="AN120" s="496"/>
      <c r="AO120" s="496"/>
      <c r="AP120" s="496"/>
      <c r="AQ120" s="496"/>
      <c r="AR120" s="496"/>
      <c r="AS120" s="496"/>
      <c r="AT120" s="496"/>
      <c r="AU120" s="496"/>
      <c r="AV120" s="496"/>
      <c r="AW120" s="496"/>
      <c r="AX120" s="496"/>
      <c r="AY120" s="496"/>
      <c r="AZ120" s="496"/>
      <c r="BA120" s="496"/>
      <c r="BB120" s="496"/>
      <c r="BC120" s="496"/>
      <c r="BD120" s="496"/>
      <c r="BE120" s="496"/>
      <c r="BF120" s="496"/>
      <c r="BG120" s="496"/>
      <c r="BH120" s="496"/>
      <c r="BI120" s="496"/>
      <c r="BJ120" s="496"/>
      <c r="BK120" s="496"/>
      <c r="BL120" s="496"/>
      <c r="BM120" s="496"/>
      <c r="BN120" s="496"/>
      <c r="BO120" s="496"/>
      <c r="BP120" s="496"/>
      <c r="BQ120" s="496"/>
      <c r="BR120" s="496"/>
      <c r="BS120" s="496"/>
      <c r="BT120" s="496"/>
      <c r="BU120" s="496"/>
      <c r="BV120" s="496"/>
      <c r="BW120" s="496"/>
      <c r="BX120" s="496"/>
      <c r="BY120" s="496"/>
      <c r="BZ120" s="496"/>
      <c r="CA120" s="496"/>
    </row>
    <row r="121" spans="1:79" ht="15.75">
      <c r="A121" s="427"/>
      <c r="B121" s="132"/>
      <c r="C121" s="132"/>
      <c r="D121" s="132"/>
      <c r="E121" s="86"/>
      <c r="F121" s="86"/>
      <c r="G121" s="496"/>
      <c r="H121" s="496"/>
      <c r="I121" s="496"/>
      <c r="J121" s="496"/>
      <c r="K121" s="496"/>
      <c r="L121" s="496"/>
      <c r="M121" s="496"/>
      <c r="N121" s="496"/>
      <c r="O121" s="496"/>
      <c r="P121" s="496"/>
      <c r="Q121" s="496"/>
      <c r="R121" s="496"/>
      <c r="S121" s="496"/>
      <c r="T121" s="496"/>
      <c r="U121" s="496"/>
      <c r="V121" s="496"/>
      <c r="W121" s="496"/>
      <c r="X121" s="496"/>
      <c r="Y121" s="496"/>
      <c r="Z121" s="496"/>
      <c r="AA121" s="496"/>
      <c r="AB121" s="496"/>
      <c r="AC121" s="496"/>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496"/>
      <c r="AY121" s="496"/>
      <c r="AZ121" s="496"/>
      <c r="BA121" s="496"/>
      <c r="BB121" s="496"/>
      <c r="BC121" s="496"/>
      <c r="BD121" s="496"/>
      <c r="BE121" s="496"/>
      <c r="BF121" s="496"/>
      <c r="BG121" s="496"/>
      <c r="BH121" s="496"/>
      <c r="BI121" s="496"/>
      <c r="BJ121" s="496"/>
      <c r="BK121" s="496"/>
      <c r="BL121" s="496"/>
      <c r="BM121" s="496"/>
      <c r="BN121" s="496"/>
      <c r="BO121" s="496"/>
      <c r="BP121" s="496"/>
      <c r="BQ121" s="496"/>
      <c r="BR121" s="496"/>
      <c r="BS121" s="496"/>
      <c r="BT121" s="496"/>
      <c r="BU121" s="496"/>
      <c r="BV121" s="496"/>
      <c r="BW121" s="496"/>
      <c r="BX121" s="496"/>
      <c r="BY121" s="496"/>
      <c r="BZ121" s="496"/>
      <c r="CA121" s="496"/>
    </row>
    <row r="122" spans="1:79" ht="15.75">
      <c r="A122" s="131"/>
      <c r="B122" s="132"/>
      <c r="C122" s="132"/>
      <c r="D122" s="132"/>
      <c r="E122" s="150"/>
      <c r="F122" s="8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6"/>
      <c r="AD122" s="496"/>
      <c r="AE122" s="496"/>
      <c r="AF122" s="496"/>
      <c r="AG122" s="496"/>
      <c r="AH122" s="496"/>
      <c r="AI122" s="496"/>
      <c r="AJ122" s="496"/>
      <c r="AK122" s="496"/>
      <c r="AL122" s="496"/>
      <c r="AM122" s="496"/>
      <c r="AN122" s="496"/>
      <c r="AO122" s="496"/>
      <c r="AP122" s="496"/>
      <c r="AQ122" s="496"/>
      <c r="AR122" s="496"/>
      <c r="AS122" s="496"/>
      <c r="AT122" s="496"/>
      <c r="AU122" s="496"/>
      <c r="AV122" s="496"/>
      <c r="AW122" s="496"/>
      <c r="AX122" s="496"/>
      <c r="AY122" s="496"/>
      <c r="AZ122" s="496"/>
      <c r="BA122" s="496"/>
      <c r="BB122" s="496"/>
      <c r="BC122" s="496"/>
      <c r="BD122" s="496"/>
      <c r="BE122" s="496"/>
      <c r="BF122" s="496"/>
      <c r="BG122" s="496"/>
      <c r="BH122" s="496"/>
      <c r="BI122" s="496"/>
      <c r="BJ122" s="496"/>
      <c r="BK122" s="496"/>
      <c r="BL122" s="496"/>
      <c r="BM122" s="496"/>
      <c r="BN122" s="496"/>
      <c r="BO122" s="496"/>
      <c r="BP122" s="496"/>
      <c r="BQ122" s="496"/>
      <c r="BR122" s="496"/>
      <c r="BS122" s="496"/>
      <c r="BT122" s="496"/>
      <c r="BU122" s="496"/>
      <c r="BV122" s="496"/>
      <c r="BW122" s="496"/>
      <c r="BX122" s="496"/>
      <c r="BY122" s="496"/>
      <c r="BZ122" s="496"/>
      <c r="CA122" s="496"/>
    </row>
    <row r="123" spans="1:79" ht="45">
      <c r="A123" s="138"/>
      <c r="B123" s="86"/>
      <c r="C123" s="86"/>
      <c r="D123" s="86"/>
      <c r="E123" s="86"/>
      <c r="F123" s="86"/>
      <c r="G123" s="496"/>
      <c r="H123" s="496"/>
      <c r="I123" s="496"/>
      <c r="J123" s="496"/>
      <c r="K123" s="496"/>
      <c r="L123" s="496"/>
      <c r="M123" s="496"/>
      <c r="N123" s="496"/>
      <c r="O123" s="496"/>
      <c r="P123" s="496"/>
      <c r="Q123" s="496"/>
      <c r="R123" s="496"/>
      <c r="S123" s="496"/>
      <c r="T123" s="496"/>
      <c r="U123" s="496"/>
      <c r="V123" s="496"/>
      <c r="W123" s="496"/>
      <c r="X123" s="496"/>
      <c r="Y123" s="496"/>
      <c r="Z123" s="496"/>
      <c r="AA123" s="496"/>
      <c r="AB123" s="496"/>
      <c r="AC123" s="496"/>
      <c r="AD123" s="496"/>
      <c r="AE123" s="496"/>
      <c r="AF123" s="496"/>
      <c r="AG123" s="496"/>
      <c r="AH123" s="496"/>
      <c r="AI123" s="496"/>
      <c r="AJ123" s="496"/>
      <c r="AK123" s="496"/>
      <c r="AL123" s="496"/>
      <c r="AM123" s="496"/>
      <c r="AN123" s="496"/>
      <c r="AO123" s="496"/>
      <c r="AP123" s="496"/>
      <c r="AQ123" s="496"/>
      <c r="AR123" s="496"/>
      <c r="AS123" s="496"/>
      <c r="AT123" s="496"/>
      <c r="AU123" s="496"/>
      <c r="AV123" s="496"/>
      <c r="AW123" s="496"/>
      <c r="AX123" s="496"/>
      <c r="AY123" s="496"/>
      <c r="AZ123" s="496"/>
      <c r="BA123" s="496"/>
      <c r="BB123" s="496"/>
      <c r="BC123" s="496"/>
      <c r="BD123" s="496"/>
      <c r="BE123" s="496"/>
      <c r="BF123" s="496"/>
      <c r="BG123" s="496"/>
      <c r="BH123" s="496"/>
      <c r="BI123" s="496"/>
      <c r="BJ123" s="496"/>
      <c r="BK123" s="496"/>
      <c r="BL123" s="496"/>
      <c r="BM123" s="496"/>
      <c r="BN123" s="496"/>
      <c r="BO123" s="496"/>
      <c r="BP123" s="496"/>
      <c r="BQ123" s="496"/>
      <c r="BR123" s="496"/>
      <c r="BS123" s="496"/>
      <c r="BT123" s="496"/>
      <c r="BU123" s="496"/>
      <c r="BV123" s="496"/>
      <c r="BW123" s="496"/>
      <c r="BX123" s="496"/>
      <c r="BY123" s="496"/>
      <c r="BZ123" s="496"/>
      <c r="CA123" s="496"/>
    </row>
    <row r="124" spans="1:79" ht="18.75" customHeight="1">
      <c r="A124" s="428"/>
      <c r="B124" s="129"/>
      <c r="C124" s="129"/>
      <c r="D124" s="129"/>
      <c r="E124" s="86"/>
      <c r="F124" s="86"/>
      <c r="G124" s="496"/>
      <c r="H124" s="496"/>
      <c r="I124" s="496"/>
      <c r="J124" s="496"/>
      <c r="K124" s="496"/>
      <c r="L124" s="496"/>
      <c r="M124" s="496"/>
      <c r="N124" s="496"/>
      <c r="O124" s="496"/>
      <c r="P124" s="496"/>
      <c r="Q124" s="496"/>
      <c r="R124" s="496"/>
      <c r="S124" s="496"/>
      <c r="T124" s="496"/>
      <c r="U124" s="496"/>
      <c r="V124" s="496"/>
      <c r="W124" s="496"/>
      <c r="X124" s="496"/>
      <c r="Y124" s="496"/>
      <c r="Z124" s="496"/>
      <c r="AA124" s="496"/>
      <c r="AB124" s="496"/>
      <c r="AC124" s="496"/>
      <c r="AD124" s="496"/>
      <c r="AE124" s="496"/>
      <c r="AF124" s="496"/>
      <c r="AG124" s="496"/>
      <c r="AH124" s="496"/>
      <c r="AI124" s="496"/>
      <c r="AJ124" s="496"/>
      <c r="AK124" s="496"/>
      <c r="AL124" s="496"/>
      <c r="AM124" s="496"/>
      <c r="AN124" s="496"/>
      <c r="AO124" s="496"/>
      <c r="AP124" s="496"/>
      <c r="AQ124" s="496"/>
      <c r="AR124" s="496"/>
      <c r="AS124" s="496"/>
      <c r="AT124" s="496"/>
      <c r="AU124" s="496"/>
      <c r="AV124" s="496"/>
      <c r="AW124" s="496"/>
      <c r="AX124" s="496"/>
      <c r="AY124" s="496"/>
      <c r="AZ124" s="496"/>
      <c r="BA124" s="496"/>
      <c r="BB124" s="496"/>
      <c r="BC124" s="496"/>
      <c r="BD124" s="496"/>
      <c r="BE124" s="496"/>
      <c r="BF124" s="496"/>
      <c r="BG124" s="496"/>
      <c r="BH124" s="496"/>
      <c r="BI124" s="496"/>
      <c r="BJ124" s="496"/>
      <c r="BK124" s="496"/>
      <c r="BL124" s="496"/>
      <c r="BM124" s="496"/>
      <c r="BN124" s="496"/>
      <c r="BO124" s="496"/>
      <c r="BP124" s="496"/>
      <c r="BQ124" s="496"/>
      <c r="BR124" s="496"/>
      <c r="BS124" s="496"/>
      <c r="BT124" s="496"/>
      <c r="BU124" s="496"/>
      <c r="BV124" s="496"/>
      <c r="BW124" s="496"/>
      <c r="BX124" s="496"/>
      <c r="BY124" s="496"/>
      <c r="BZ124" s="496"/>
      <c r="CA124" s="496"/>
    </row>
    <row r="125" spans="1:79" ht="15.75">
      <c r="A125" s="131"/>
      <c r="B125" s="132"/>
      <c r="C125" s="132"/>
      <c r="D125" s="132"/>
      <c r="E125" s="86"/>
      <c r="F125" s="86"/>
      <c r="G125" s="496"/>
      <c r="H125" s="496"/>
      <c r="I125" s="496"/>
      <c r="J125" s="496"/>
      <c r="K125" s="496"/>
      <c r="L125" s="496"/>
      <c r="M125" s="496"/>
      <c r="N125" s="496"/>
      <c r="O125" s="496"/>
      <c r="P125" s="496"/>
      <c r="Q125" s="496"/>
      <c r="R125" s="496"/>
      <c r="S125" s="496"/>
      <c r="T125" s="496"/>
      <c r="U125" s="496"/>
      <c r="V125" s="496"/>
      <c r="W125" s="496"/>
      <c r="X125" s="496"/>
      <c r="Y125" s="496"/>
      <c r="Z125" s="496"/>
      <c r="AA125" s="496"/>
      <c r="AB125" s="496"/>
      <c r="AC125" s="496"/>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6"/>
      <c r="AY125" s="496"/>
      <c r="AZ125" s="496"/>
      <c r="BA125" s="496"/>
      <c r="BB125" s="496"/>
      <c r="BC125" s="496"/>
      <c r="BD125" s="496"/>
      <c r="BE125" s="496"/>
      <c r="BF125" s="496"/>
      <c r="BG125" s="496"/>
      <c r="BH125" s="496"/>
      <c r="BI125" s="496"/>
      <c r="BJ125" s="496"/>
      <c r="BK125" s="496"/>
      <c r="BL125" s="496"/>
      <c r="BM125" s="496"/>
      <c r="BN125" s="496"/>
      <c r="BO125" s="496"/>
      <c r="BP125" s="496"/>
      <c r="BQ125" s="496"/>
      <c r="BR125" s="496"/>
      <c r="BS125" s="496"/>
      <c r="BT125" s="496"/>
      <c r="BU125" s="496"/>
      <c r="BV125" s="496"/>
      <c r="BW125" s="496"/>
      <c r="BX125" s="496"/>
      <c r="BY125" s="496"/>
      <c r="BZ125" s="496"/>
      <c r="CA125" s="496"/>
    </row>
    <row r="126" spans="1:79" ht="15.75">
      <c r="A126" s="427"/>
      <c r="B126" s="428"/>
      <c r="C126" s="132"/>
      <c r="D126" s="132"/>
      <c r="E126" s="86"/>
      <c r="F126" s="86"/>
      <c r="G126" s="496"/>
      <c r="H126" s="496"/>
      <c r="I126" s="496"/>
      <c r="J126" s="496"/>
      <c r="K126" s="496"/>
      <c r="L126" s="496"/>
      <c r="M126" s="496"/>
      <c r="N126" s="496"/>
      <c r="O126" s="496"/>
      <c r="P126" s="496"/>
      <c r="Q126" s="496"/>
      <c r="R126" s="496"/>
      <c r="S126" s="496"/>
      <c r="T126" s="496"/>
      <c r="U126" s="496"/>
      <c r="V126" s="496"/>
      <c r="W126" s="496"/>
      <c r="X126" s="496"/>
      <c r="Y126" s="496"/>
      <c r="Z126" s="496"/>
      <c r="AA126" s="496"/>
      <c r="AB126" s="496"/>
      <c r="AC126" s="496"/>
      <c r="AD126" s="496"/>
      <c r="AE126" s="496"/>
      <c r="AF126" s="496"/>
      <c r="AG126" s="496"/>
      <c r="AH126" s="496"/>
      <c r="AI126" s="496"/>
      <c r="AJ126" s="496"/>
      <c r="AK126" s="496"/>
      <c r="AL126" s="496"/>
      <c r="AM126" s="496"/>
      <c r="AN126" s="496"/>
      <c r="AO126" s="496"/>
      <c r="AP126" s="496"/>
      <c r="AQ126" s="496"/>
      <c r="AR126" s="496"/>
      <c r="AS126" s="496"/>
      <c r="AT126" s="496"/>
      <c r="AU126" s="496"/>
      <c r="AV126" s="496"/>
      <c r="AW126" s="496"/>
      <c r="AX126" s="496"/>
      <c r="AY126" s="496"/>
      <c r="AZ126" s="496"/>
      <c r="BA126" s="496"/>
      <c r="BB126" s="496"/>
      <c r="BC126" s="496"/>
      <c r="BD126" s="496"/>
      <c r="BE126" s="496"/>
      <c r="BF126" s="496"/>
      <c r="BG126" s="496"/>
      <c r="BH126" s="496"/>
      <c r="BI126" s="496"/>
      <c r="BJ126" s="496"/>
      <c r="BK126" s="496"/>
      <c r="BL126" s="496"/>
      <c r="BM126" s="496"/>
      <c r="BN126" s="496"/>
      <c r="BO126" s="496"/>
      <c r="BP126" s="496"/>
      <c r="BQ126" s="496"/>
      <c r="BR126" s="496"/>
      <c r="BS126" s="496"/>
      <c r="BT126" s="496"/>
      <c r="BU126" s="496"/>
      <c r="BV126" s="496"/>
      <c r="BW126" s="496"/>
      <c r="BX126" s="496"/>
      <c r="BY126" s="496"/>
      <c r="BZ126" s="496"/>
      <c r="CA126" s="496"/>
    </row>
    <row r="127" spans="1:79" ht="15.75">
      <c r="A127" s="131"/>
      <c r="B127" s="428"/>
      <c r="C127" s="132"/>
      <c r="D127" s="132"/>
      <c r="E127" s="86"/>
      <c r="F127" s="86"/>
      <c r="G127" s="496"/>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496"/>
      <c r="AE127" s="496"/>
      <c r="AF127" s="496"/>
      <c r="AG127" s="496"/>
      <c r="AH127" s="496"/>
      <c r="AI127" s="496"/>
      <c r="AJ127" s="496"/>
      <c r="AK127" s="496"/>
      <c r="AL127" s="496"/>
      <c r="AM127" s="496"/>
      <c r="AN127" s="496"/>
      <c r="AO127" s="496"/>
      <c r="AP127" s="496"/>
      <c r="AQ127" s="496"/>
      <c r="AR127" s="496"/>
      <c r="AS127" s="496"/>
      <c r="AT127" s="496"/>
      <c r="AU127" s="496"/>
      <c r="AV127" s="496"/>
      <c r="AW127" s="496"/>
      <c r="AX127" s="496"/>
      <c r="AY127" s="496"/>
      <c r="AZ127" s="496"/>
      <c r="BA127" s="496"/>
      <c r="BB127" s="496"/>
      <c r="BC127" s="496"/>
      <c r="BD127" s="496"/>
      <c r="BE127" s="496"/>
      <c r="BF127" s="496"/>
      <c r="BG127" s="496"/>
      <c r="BH127" s="496"/>
      <c r="BI127" s="496"/>
      <c r="BJ127" s="496"/>
      <c r="BK127" s="496"/>
      <c r="BL127" s="496"/>
      <c r="BM127" s="496"/>
      <c r="BN127" s="496"/>
      <c r="BO127" s="496"/>
      <c r="BP127" s="496"/>
      <c r="BQ127" s="496"/>
      <c r="BR127" s="496"/>
      <c r="BS127" s="496"/>
      <c r="BT127" s="496"/>
      <c r="BU127" s="496"/>
      <c r="BV127" s="496"/>
      <c r="BW127" s="496"/>
      <c r="BX127" s="496"/>
      <c r="BY127" s="496"/>
      <c r="BZ127" s="496"/>
      <c r="CA127" s="496"/>
    </row>
    <row r="128" spans="1:79">
      <c r="A128" s="28"/>
      <c r="B128" s="28"/>
      <c r="C128" s="28"/>
      <c r="D128" s="28"/>
      <c r="E128" s="28"/>
      <c r="F128" s="28"/>
      <c r="G128" s="496"/>
      <c r="H128" s="496"/>
      <c r="I128" s="496"/>
      <c r="J128" s="496"/>
      <c r="K128" s="496"/>
      <c r="L128" s="496"/>
      <c r="M128" s="496"/>
      <c r="N128" s="496"/>
      <c r="O128" s="496"/>
      <c r="P128" s="496"/>
      <c r="Q128" s="496"/>
      <c r="R128" s="496"/>
      <c r="S128" s="496"/>
      <c r="T128" s="496"/>
      <c r="U128" s="496"/>
      <c r="V128" s="496"/>
      <c r="W128" s="496"/>
      <c r="X128" s="496"/>
      <c r="Y128" s="496"/>
      <c r="Z128" s="496"/>
      <c r="AA128" s="496"/>
      <c r="AB128" s="496"/>
      <c r="AC128" s="496"/>
      <c r="AD128" s="496"/>
      <c r="AE128" s="496"/>
      <c r="AF128" s="496"/>
      <c r="AG128" s="496"/>
      <c r="AH128" s="496"/>
      <c r="AI128" s="496"/>
      <c r="AJ128" s="496"/>
      <c r="AK128" s="496"/>
      <c r="AL128" s="496"/>
      <c r="AM128" s="496"/>
      <c r="AN128" s="496"/>
      <c r="AO128" s="496"/>
      <c r="AP128" s="496"/>
      <c r="AQ128" s="496"/>
      <c r="AR128" s="496"/>
      <c r="AS128" s="496"/>
      <c r="AT128" s="496"/>
      <c r="AU128" s="496"/>
      <c r="AV128" s="496"/>
      <c r="AW128" s="496"/>
      <c r="AX128" s="496"/>
      <c r="AY128" s="496"/>
      <c r="AZ128" s="496"/>
      <c r="BA128" s="496"/>
      <c r="BB128" s="496"/>
      <c r="BC128" s="496"/>
      <c r="BD128" s="496"/>
      <c r="BE128" s="496"/>
      <c r="BF128" s="496"/>
      <c r="BG128" s="496"/>
      <c r="BH128" s="496"/>
      <c r="BI128" s="496"/>
      <c r="BJ128" s="496"/>
      <c r="BK128" s="496"/>
      <c r="BL128" s="496"/>
      <c r="BM128" s="496"/>
      <c r="BN128" s="496"/>
      <c r="BO128" s="496"/>
      <c r="BP128" s="496"/>
      <c r="BQ128" s="496"/>
      <c r="BR128" s="496"/>
      <c r="BS128" s="496"/>
      <c r="BT128" s="496"/>
      <c r="BU128" s="496"/>
      <c r="BV128" s="496"/>
      <c r="BW128" s="496"/>
      <c r="BX128" s="496"/>
      <c r="BY128" s="496"/>
      <c r="BZ128" s="496"/>
      <c r="CA128" s="496"/>
    </row>
    <row r="129" spans="1:79">
      <c r="A129" s="28"/>
      <c r="B129" s="28"/>
      <c r="C129" s="28"/>
      <c r="D129" s="28"/>
      <c r="E129" s="28"/>
      <c r="F129" s="28"/>
      <c r="G129" s="496"/>
      <c r="H129" s="496"/>
      <c r="I129" s="496"/>
      <c r="J129" s="496"/>
      <c r="K129" s="496"/>
      <c r="L129" s="496"/>
      <c r="M129" s="496"/>
      <c r="N129" s="496"/>
      <c r="O129" s="496"/>
      <c r="P129" s="496"/>
      <c r="Q129" s="496"/>
      <c r="R129" s="496"/>
      <c r="S129" s="496"/>
      <c r="T129" s="496"/>
      <c r="U129" s="496"/>
      <c r="V129" s="496"/>
      <c r="W129" s="496"/>
      <c r="X129" s="496"/>
      <c r="Y129" s="496"/>
      <c r="Z129" s="496"/>
      <c r="AA129" s="496"/>
      <c r="AB129" s="496"/>
      <c r="AC129" s="496"/>
      <c r="AD129" s="496"/>
      <c r="AE129" s="496"/>
      <c r="AF129" s="496"/>
      <c r="AG129" s="496"/>
      <c r="AH129" s="496"/>
      <c r="AI129" s="496"/>
      <c r="AJ129" s="496"/>
      <c r="AK129" s="496"/>
      <c r="AL129" s="496"/>
      <c r="AM129" s="496"/>
      <c r="AN129" s="496"/>
      <c r="AO129" s="496"/>
      <c r="AP129" s="496"/>
      <c r="AQ129" s="496"/>
      <c r="AR129" s="496"/>
      <c r="AS129" s="496"/>
      <c r="AT129" s="496"/>
      <c r="AU129" s="496"/>
      <c r="AV129" s="496"/>
      <c r="AW129" s="496"/>
      <c r="AX129" s="496"/>
      <c r="AY129" s="496"/>
      <c r="AZ129" s="496"/>
      <c r="BA129" s="496"/>
      <c r="BB129" s="496"/>
      <c r="BC129" s="496"/>
      <c r="BD129" s="496"/>
      <c r="BE129" s="496"/>
      <c r="BF129" s="496"/>
      <c r="BG129" s="496"/>
      <c r="BH129" s="496"/>
      <c r="BI129" s="496"/>
      <c r="BJ129" s="496"/>
      <c r="BK129" s="496"/>
      <c r="BL129" s="496"/>
      <c r="BM129" s="496"/>
      <c r="BN129" s="496"/>
      <c r="BO129" s="496"/>
      <c r="BP129" s="496"/>
      <c r="BQ129" s="496"/>
      <c r="BR129" s="496"/>
      <c r="BS129" s="496"/>
      <c r="BT129" s="496"/>
      <c r="BU129" s="496"/>
      <c r="BV129" s="496"/>
      <c r="BW129" s="496"/>
      <c r="BX129" s="496"/>
      <c r="BY129" s="496"/>
      <c r="BZ129" s="496"/>
      <c r="CA129" s="496"/>
    </row>
    <row r="130" spans="1:79">
      <c r="A130" s="28"/>
      <c r="B130" s="28"/>
      <c r="C130" s="28"/>
      <c r="D130" s="28"/>
      <c r="E130" s="28"/>
      <c r="F130" s="28"/>
      <c r="G130" s="496"/>
      <c r="H130" s="496"/>
      <c r="I130" s="496"/>
      <c r="J130" s="496"/>
      <c r="K130" s="496"/>
      <c r="L130" s="496"/>
      <c r="M130" s="496"/>
      <c r="N130" s="496"/>
      <c r="O130" s="496"/>
      <c r="P130" s="496"/>
      <c r="Q130" s="496"/>
      <c r="R130" s="496"/>
      <c r="S130" s="496"/>
      <c r="T130" s="496"/>
      <c r="U130" s="496"/>
      <c r="V130" s="496"/>
      <c r="W130" s="496"/>
      <c r="X130" s="496"/>
      <c r="Y130" s="496"/>
      <c r="Z130" s="496"/>
      <c r="AA130" s="496"/>
      <c r="AB130" s="496"/>
      <c r="AC130" s="496"/>
      <c r="AD130" s="496"/>
      <c r="AE130" s="496"/>
      <c r="AF130" s="496"/>
      <c r="AG130" s="496"/>
      <c r="AH130" s="496"/>
      <c r="AI130" s="496"/>
      <c r="AJ130" s="496"/>
      <c r="AK130" s="496"/>
      <c r="AL130" s="496"/>
      <c r="AM130" s="496"/>
      <c r="AN130" s="496"/>
      <c r="AO130" s="496"/>
      <c r="AP130" s="496"/>
      <c r="AQ130" s="496"/>
      <c r="AR130" s="496"/>
      <c r="AS130" s="496"/>
      <c r="AT130" s="496"/>
      <c r="AU130" s="496"/>
      <c r="AV130" s="496"/>
      <c r="AW130" s="496"/>
      <c r="AX130" s="496"/>
      <c r="AY130" s="496"/>
      <c r="AZ130" s="496"/>
      <c r="BA130" s="496"/>
      <c r="BB130" s="496"/>
      <c r="BC130" s="496"/>
      <c r="BD130" s="496"/>
      <c r="BE130" s="496"/>
      <c r="BF130" s="496"/>
      <c r="BG130" s="496"/>
      <c r="BH130" s="496"/>
      <c r="BI130" s="496"/>
      <c r="BJ130" s="496"/>
      <c r="BK130" s="496"/>
      <c r="BL130" s="496"/>
      <c r="BM130" s="496"/>
      <c r="BN130" s="496"/>
      <c r="BO130" s="496"/>
      <c r="BP130" s="496"/>
      <c r="BQ130" s="496"/>
      <c r="BR130" s="496"/>
      <c r="BS130" s="496"/>
      <c r="BT130" s="496"/>
      <c r="BU130" s="496"/>
      <c r="BV130" s="496"/>
      <c r="BW130" s="496"/>
      <c r="BX130" s="496"/>
      <c r="BY130" s="496"/>
      <c r="BZ130" s="496"/>
      <c r="CA130" s="496"/>
    </row>
    <row r="131" spans="1:79" ht="17.25" customHeight="1">
      <c r="A131" s="28"/>
      <c r="B131" s="28"/>
      <c r="C131" s="28"/>
      <c r="D131" s="28"/>
      <c r="E131" s="28"/>
      <c r="F131" s="28"/>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6"/>
      <c r="AM131" s="496"/>
      <c r="AN131" s="496"/>
      <c r="AO131" s="496"/>
      <c r="AP131" s="496"/>
      <c r="AQ131" s="496"/>
      <c r="AR131" s="496"/>
      <c r="AS131" s="496"/>
      <c r="AT131" s="496"/>
      <c r="AU131" s="496"/>
      <c r="AV131" s="496"/>
      <c r="AW131" s="496"/>
      <c r="AX131" s="496"/>
      <c r="AY131" s="496"/>
      <c r="AZ131" s="496"/>
      <c r="BA131" s="496"/>
      <c r="BB131" s="496"/>
      <c r="BC131" s="496"/>
      <c r="BD131" s="496"/>
      <c r="BE131" s="496"/>
      <c r="BF131" s="496"/>
      <c r="BG131" s="496"/>
      <c r="BH131" s="496"/>
      <c r="BI131" s="496"/>
      <c r="BJ131" s="496"/>
      <c r="BK131" s="496"/>
      <c r="BL131" s="496"/>
      <c r="BM131" s="496"/>
      <c r="BN131" s="496"/>
      <c r="BO131" s="496"/>
      <c r="BP131" s="496"/>
      <c r="BQ131" s="496"/>
      <c r="BR131" s="496"/>
      <c r="BS131" s="496"/>
      <c r="BT131" s="496"/>
      <c r="BU131" s="496"/>
      <c r="BV131" s="496"/>
      <c r="BW131" s="496"/>
      <c r="BX131" s="496"/>
      <c r="BY131" s="496"/>
      <c r="BZ131" s="496"/>
      <c r="CA131" s="496"/>
    </row>
    <row r="132" spans="1:79">
      <c r="G132" s="496"/>
      <c r="H132" s="496"/>
      <c r="I132" s="496"/>
      <c r="J132" s="496"/>
      <c r="K132" s="496"/>
      <c r="L132" s="496"/>
      <c r="M132" s="496"/>
      <c r="N132" s="496"/>
      <c r="O132" s="496"/>
      <c r="P132" s="496"/>
      <c r="Q132" s="496"/>
      <c r="R132" s="496"/>
      <c r="S132" s="496"/>
      <c r="T132" s="496"/>
      <c r="U132" s="496"/>
      <c r="V132" s="496"/>
      <c r="W132" s="496"/>
      <c r="X132" s="496"/>
      <c r="Y132" s="496"/>
      <c r="Z132" s="496"/>
      <c r="AA132" s="496"/>
      <c r="AB132" s="496"/>
      <c r="AC132" s="496"/>
      <c r="AD132" s="496"/>
      <c r="AE132" s="496"/>
      <c r="AF132" s="496"/>
      <c r="AG132" s="496"/>
      <c r="AH132" s="496"/>
      <c r="AI132" s="496"/>
      <c r="AJ132" s="496"/>
      <c r="AK132" s="496"/>
      <c r="AL132" s="496"/>
      <c r="AM132" s="496"/>
      <c r="AN132" s="496"/>
      <c r="AO132" s="496"/>
      <c r="AP132" s="496"/>
      <c r="AQ132" s="496"/>
      <c r="AR132" s="496"/>
      <c r="AS132" s="496"/>
      <c r="AT132" s="496"/>
      <c r="AU132" s="496"/>
      <c r="AV132" s="496"/>
      <c r="AW132" s="496"/>
      <c r="AX132" s="496"/>
      <c r="AY132" s="496"/>
      <c r="AZ132" s="496"/>
      <c r="BA132" s="496"/>
      <c r="BB132" s="496"/>
      <c r="BC132" s="496"/>
      <c r="BD132" s="496"/>
      <c r="BE132" s="496"/>
      <c r="BF132" s="496"/>
      <c r="BG132" s="496"/>
      <c r="BH132" s="496"/>
      <c r="BI132" s="496"/>
      <c r="BJ132" s="496"/>
      <c r="BK132" s="496"/>
      <c r="BL132" s="496"/>
      <c r="BM132" s="496"/>
      <c r="BN132" s="496"/>
      <c r="BO132" s="496"/>
      <c r="BP132" s="496"/>
      <c r="BQ132" s="496"/>
      <c r="BR132" s="496"/>
      <c r="BS132" s="496"/>
      <c r="BT132" s="496"/>
      <c r="BU132" s="496"/>
      <c r="BV132" s="496"/>
      <c r="BW132" s="496"/>
      <c r="BX132" s="496"/>
      <c r="BY132" s="496"/>
      <c r="BZ132" s="496"/>
      <c r="CA132" s="496"/>
    </row>
    <row r="133" spans="1:79">
      <c r="G133" s="496"/>
      <c r="H133" s="496"/>
      <c r="I133" s="496"/>
      <c r="J133" s="496"/>
      <c r="K133" s="496"/>
      <c r="L133" s="496"/>
      <c r="M133" s="496"/>
      <c r="N133" s="496"/>
      <c r="O133" s="496"/>
      <c r="P133" s="496"/>
      <c r="Q133" s="496"/>
      <c r="R133" s="496"/>
      <c r="S133" s="496"/>
      <c r="T133" s="496"/>
      <c r="U133" s="496"/>
      <c r="V133" s="496"/>
      <c r="W133" s="496"/>
      <c r="X133" s="496"/>
      <c r="Y133" s="496"/>
      <c r="Z133" s="496"/>
      <c r="AA133" s="496"/>
      <c r="AB133" s="496"/>
      <c r="AC133" s="496"/>
      <c r="AD133" s="496"/>
      <c r="AE133" s="496"/>
      <c r="AF133" s="496"/>
      <c r="AG133" s="496"/>
      <c r="AH133" s="496"/>
      <c r="AI133" s="496"/>
      <c r="AJ133" s="496"/>
      <c r="AK133" s="496"/>
      <c r="AL133" s="496"/>
      <c r="AM133" s="496"/>
      <c r="AN133" s="496"/>
      <c r="AO133" s="496"/>
      <c r="AP133" s="496"/>
      <c r="AQ133" s="496"/>
      <c r="AR133" s="496"/>
      <c r="AS133" s="496"/>
      <c r="AT133" s="496"/>
      <c r="AU133" s="496"/>
      <c r="AV133" s="496"/>
      <c r="AW133" s="496"/>
      <c r="AX133" s="496"/>
      <c r="AY133" s="496"/>
      <c r="AZ133" s="496"/>
      <c r="BA133" s="496"/>
      <c r="BB133" s="496"/>
      <c r="BC133" s="496"/>
      <c r="BD133" s="496"/>
      <c r="BE133" s="496"/>
      <c r="BF133" s="496"/>
      <c r="BG133" s="496"/>
      <c r="BH133" s="496"/>
      <c r="BI133" s="496"/>
      <c r="BJ133" s="496"/>
      <c r="BK133" s="496"/>
      <c r="BL133" s="496"/>
      <c r="BM133" s="496"/>
      <c r="BN133" s="496"/>
      <c r="BO133" s="496"/>
      <c r="BP133" s="496"/>
      <c r="BQ133" s="496"/>
      <c r="BR133" s="496"/>
      <c r="BS133" s="496"/>
      <c r="BT133" s="496"/>
      <c r="BU133" s="496"/>
      <c r="BV133" s="496"/>
      <c r="BW133" s="496"/>
      <c r="BX133" s="496"/>
      <c r="BY133" s="496"/>
      <c r="BZ133" s="496"/>
      <c r="CA133" s="496"/>
    </row>
    <row r="134" spans="1:79">
      <c r="G134" s="496"/>
      <c r="H134" s="496"/>
      <c r="I134" s="496"/>
      <c r="J134" s="496"/>
      <c r="K134" s="496"/>
      <c r="L134" s="496"/>
      <c r="M134" s="496"/>
      <c r="N134" s="496"/>
      <c r="O134" s="496"/>
      <c r="P134" s="496"/>
      <c r="Q134" s="496"/>
      <c r="R134" s="496"/>
      <c r="S134" s="496"/>
      <c r="T134" s="496"/>
      <c r="U134" s="496"/>
      <c r="V134" s="496"/>
      <c r="W134" s="496"/>
      <c r="X134" s="496"/>
      <c r="Y134" s="496"/>
      <c r="Z134" s="496"/>
      <c r="AA134" s="496"/>
      <c r="AB134" s="496"/>
      <c r="AC134" s="496"/>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496"/>
      <c r="AY134" s="496"/>
      <c r="AZ134" s="496"/>
      <c r="BA134" s="496"/>
      <c r="BB134" s="496"/>
      <c r="BC134" s="496"/>
      <c r="BD134" s="496"/>
      <c r="BE134" s="496"/>
      <c r="BF134" s="496"/>
      <c r="BG134" s="496"/>
      <c r="BH134" s="496"/>
      <c r="BI134" s="496"/>
      <c r="BJ134" s="496"/>
      <c r="BK134" s="496"/>
      <c r="BL134" s="496"/>
      <c r="BM134" s="496"/>
      <c r="BN134" s="496"/>
      <c r="BO134" s="496"/>
      <c r="BP134" s="496"/>
      <c r="BQ134" s="496"/>
      <c r="BR134" s="496"/>
      <c r="BS134" s="496"/>
      <c r="BT134" s="496"/>
      <c r="BU134" s="496"/>
      <c r="BV134" s="496"/>
      <c r="BW134" s="496"/>
      <c r="BX134" s="496"/>
      <c r="BY134" s="496"/>
      <c r="BZ134" s="496"/>
      <c r="CA134" s="496"/>
    </row>
    <row r="135" spans="1:79">
      <c r="G135" s="496"/>
      <c r="H135" s="496"/>
      <c r="I135" s="496"/>
      <c r="J135" s="496"/>
      <c r="K135" s="496"/>
      <c r="L135" s="496"/>
      <c r="M135" s="496"/>
      <c r="N135" s="496"/>
      <c r="O135" s="496"/>
      <c r="P135" s="496"/>
      <c r="Q135" s="496"/>
      <c r="R135" s="496"/>
      <c r="S135" s="496"/>
      <c r="T135" s="496"/>
      <c r="U135" s="496"/>
      <c r="V135" s="496"/>
      <c r="W135" s="496"/>
      <c r="X135" s="496"/>
      <c r="Y135" s="496"/>
      <c r="Z135" s="496"/>
      <c r="AA135" s="496"/>
      <c r="AB135" s="496"/>
      <c r="AC135" s="496"/>
      <c r="AD135" s="496"/>
      <c r="AE135" s="496"/>
      <c r="AF135" s="496"/>
      <c r="AG135" s="496"/>
      <c r="AH135" s="496"/>
      <c r="AI135" s="496"/>
      <c r="AJ135" s="496"/>
      <c r="AK135" s="496"/>
      <c r="AL135" s="496"/>
      <c r="AM135" s="496"/>
      <c r="AN135" s="496"/>
      <c r="AO135" s="496"/>
      <c r="AP135" s="496"/>
      <c r="AQ135" s="496"/>
      <c r="AR135" s="496"/>
      <c r="AS135" s="496"/>
      <c r="AT135" s="496"/>
      <c r="AU135" s="496"/>
      <c r="AV135" s="496"/>
      <c r="AW135" s="496"/>
      <c r="AX135" s="496"/>
      <c r="AY135" s="496"/>
      <c r="AZ135" s="496"/>
      <c r="BA135" s="496"/>
      <c r="BB135" s="496"/>
      <c r="BC135" s="496"/>
      <c r="BD135" s="496"/>
      <c r="BE135" s="496"/>
      <c r="BF135" s="496"/>
      <c r="BG135" s="496"/>
      <c r="BH135" s="496"/>
      <c r="BI135" s="496"/>
      <c r="BJ135" s="496"/>
      <c r="BK135" s="496"/>
      <c r="BL135" s="496"/>
      <c r="BM135" s="496"/>
      <c r="BN135" s="496"/>
      <c r="BO135" s="496"/>
      <c r="BP135" s="496"/>
      <c r="BQ135" s="496"/>
      <c r="BR135" s="496"/>
      <c r="BS135" s="496"/>
      <c r="BT135" s="496"/>
      <c r="BU135" s="496"/>
      <c r="BV135" s="496"/>
      <c r="BW135" s="496"/>
      <c r="BX135" s="496"/>
      <c r="BY135" s="496"/>
      <c r="BZ135" s="496"/>
      <c r="CA135" s="496"/>
    </row>
    <row r="136" spans="1:79">
      <c r="G136" s="496"/>
      <c r="H136" s="496"/>
      <c r="I136" s="496"/>
      <c r="J136" s="496"/>
      <c r="K136" s="496"/>
      <c r="L136" s="496"/>
      <c r="M136" s="496"/>
      <c r="N136" s="496"/>
      <c r="O136" s="496"/>
      <c r="P136" s="496"/>
      <c r="Q136" s="496"/>
      <c r="R136" s="496"/>
      <c r="S136" s="496"/>
      <c r="T136" s="496"/>
      <c r="U136" s="496"/>
      <c r="V136" s="496"/>
      <c r="W136" s="496"/>
      <c r="X136" s="496"/>
      <c r="Y136" s="496"/>
      <c r="Z136" s="496"/>
      <c r="AA136" s="496"/>
      <c r="AB136" s="496"/>
      <c r="AC136" s="496"/>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6"/>
      <c r="AY136" s="496"/>
      <c r="AZ136" s="496"/>
      <c r="BA136" s="496"/>
      <c r="BB136" s="496"/>
      <c r="BC136" s="496"/>
      <c r="BD136" s="496"/>
      <c r="BE136" s="496"/>
      <c r="BF136" s="496"/>
      <c r="BG136" s="496"/>
      <c r="BH136" s="496"/>
      <c r="BI136" s="496"/>
      <c r="BJ136" s="496"/>
      <c r="BK136" s="496"/>
      <c r="BL136" s="496"/>
      <c r="BM136" s="496"/>
      <c r="BN136" s="496"/>
      <c r="BO136" s="496"/>
      <c r="BP136" s="496"/>
      <c r="BQ136" s="496"/>
      <c r="BR136" s="496"/>
      <c r="BS136" s="496"/>
      <c r="BT136" s="496"/>
      <c r="BU136" s="496"/>
      <c r="BV136" s="496"/>
      <c r="BW136" s="496"/>
      <c r="BX136" s="496"/>
      <c r="BY136" s="496"/>
      <c r="BZ136" s="496"/>
      <c r="CA136" s="496"/>
    </row>
    <row r="137" spans="1:79">
      <c r="G137" s="496"/>
      <c r="H137" s="496"/>
      <c r="I137" s="496"/>
      <c r="J137" s="496"/>
      <c r="K137" s="496"/>
      <c r="L137" s="496"/>
      <c r="M137" s="496"/>
      <c r="N137" s="496"/>
      <c r="O137" s="496"/>
      <c r="P137" s="496"/>
      <c r="Q137" s="496"/>
      <c r="R137" s="496"/>
      <c r="S137" s="496"/>
      <c r="T137" s="496"/>
      <c r="U137" s="496"/>
      <c r="V137" s="496"/>
      <c r="W137" s="496"/>
      <c r="X137" s="496"/>
      <c r="Y137" s="496"/>
      <c r="Z137" s="496"/>
      <c r="AA137" s="496"/>
      <c r="AB137" s="496"/>
      <c r="AC137" s="496"/>
      <c r="AD137" s="496"/>
      <c r="AE137" s="496"/>
      <c r="AF137" s="496"/>
      <c r="AG137" s="496"/>
      <c r="AH137" s="496"/>
      <c r="AI137" s="496"/>
      <c r="AJ137" s="496"/>
      <c r="AK137" s="496"/>
      <c r="AL137" s="496"/>
      <c r="AM137" s="496"/>
      <c r="AN137" s="496"/>
      <c r="AO137" s="496"/>
      <c r="AP137" s="496"/>
      <c r="AQ137" s="496"/>
      <c r="AR137" s="496"/>
      <c r="AS137" s="496"/>
      <c r="AT137" s="496"/>
      <c r="AU137" s="496"/>
      <c r="AV137" s="496"/>
      <c r="AW137" s="496"/>
      <c r="AX137" s="496"/>
      <c r="AY137" s="496"/>
      <c r="AZ137" s="496"/>
      <c r="BA137" s="496"/>
      <c r="BB137" s="496"/>
      <c r="BC137" s="496"/>
      <c r="BD137" s="496"/>
      <c r="BE137" s="496"/>
      <c r="BF137" s="496"/>
      <c r="BG137" s="496"/>
      <c r="BH137" s="496"/>
      <c r="BI137" s="496"/>
      <c r="BJ137" s="496"/>
      <c r="BK137" s="496"/>
      <c r="BL137" s="496"/>
      <c r="BM137" s="496"/>
      <c r="BN137" s="496"/>
      <c r="BO137" s="496"/>
      <c r="BP137" s="496"/>
      <c r="BQ137" s="496"/>
      <c r="BR137" s="496"/>
      <c r="BS137" s="496"/>
      <c r="BT137" s="496"/>
      <c r="BU137" s="496"/>
      <c r="BV137" s="496"/>
      <c r="BW137" s="496"/>
      <c r="BX137" s="496"/>
      <c r="BY137" s="496"/>
      <c r="BZ137" s="496"/>
      <c r="CA137" s="496"/>
    </row>
    <row r="138" spans="1:79">
      <c r="G138" s="496"/>
      <c r="H138" s="496"/>
      <c r="I138" s="496"/>
      <c r="J138" s="496"/>
      <c r="K138" s="496"/>
      <c r="L138" s="496"/>
      <c r="M138" s="496"/>
      <c r="N138" s="496"/>
      <c r="O138" s="496"/>
      <c r="P138" s="496"/>
      <c r="Q138" s="496"/>
      <c r="R138" s="496"/>
      <c r="S138" s="496"/>
      <c r="T138" s="496"/>
      <c r="U138" s="496"/>
      <c r="V138" s="496"/>
      <c r="W138" s="496"/>
      <c r="X138" s="496"/>
      <c r="Y138" s="496"/>
      <c r="Z138" s="496"/>
      <c r="AA138" s="496"/>
      <c r="AB138" s="496"/>
      <c r="AC138" s="496"/>
      <c r="AD138" s="496"/>
      <c r="AE138" s="496"/>
      <c r="AF138" s="496"/>
      <c r="AG138" s="496"/>
      <c r="AH138" s="496"/>
      <c r="AI138" s="496"/>
      <c r="AJ138" s="496"/>
      <c r="AK138" s="496"/>
      <c r="AL138" s="496"/>
      <c r="AM138" s="496"/>
      <c r="AN138" s="496"/>
      <c r="AO138" s="496"/>
      <c r="AP138" s="496"/>
      <c r="AQ138" s="496"/>
      <c r="AR138" s="496"/>
      <c r="AS138" s="496"/>
      <c r="AT138" s="496"/>
      <c r="AU138" s="496"/>
      <c r="AV138" s="496"/>
      <c r="AW138" s="496"/>
      <c r="AX138" s="496"/>
      <c r="AY138" s="496"/>
      <c r="AZ138" s="496"/>
      <c r="BA138" s="496"/>
      <c r="BB138" s="496"/>
      <c r="BC138" s="496"/>
      <c r="BD138" s="496"/>
      <c r="BE138" s="496"/>
      <c r="BF138" s="496"/>
      <c r="BG138" s="496"/>
      <c r="BH138" s="496"/>
      <c r="BI138" s="496"/>
      <c r="BJ138" s="496"/>
      <c r="BK138" s="496"/>
      <c r="BL138" s="496"/>
      <c r="BM138" s="496"/>
      <c r="BN138" s="496"/>
      <c r="BO138" s="496"/>
      <c r="BP138" s="496"/>
      <c r="BQ138" s="496"/>
      <c r="BR138" s="496"/>
      <c r="BS138" s="496"/>
      <c r="BT138" s="496"/>
      <c r="BU138" s="496"/>
      <c r="BV138" s="496"/>
      <c r="BW138" s="496"/>
      <c r="BX138" s="496"/>
      <c r="BY138" s="496"/>
      <c r="BZ138" s="496"/>
      <c r="CA138" s="496"/>
    </row>
    <row r="139" spans="1:79">
      <c r="G139" s="496"/>
      <c r="H139" s="496"/>
      <c r="I139" s="496"/>
      <c r="J139" s="496"/>
      <c r="K139" s="496"/>
      <c r="L139" s="496"/>
      <c r="M139" s="496"/>
      <c r="N139" s="496"/>
      <c r="O139" s="496"/>
      <c r="P139" s="496"/>
      <c r="Q139" s="496"/>
      <c r="R139" s="496"/>
      <c r="S139" s="496"/>
      <c r="T139" s="496"/>
      <c r="U139" s="496"/>
      <c r="V139" s="496"/>
      <c r="W139" s="496"/>
      <c r="X139" s="496"/>
      <c r="Y139" s="496"/>
      <c r="Z139" s="496"/>
      <c r="AA139" s="496"/>
      <c r="AB139" s="496"/>
      <c r="AC139" s="496"/>
      <c r="AD139" s="496"/>
      <c r="AE139" s="496"/>
      <c r="AF139" s="496"/>
      <c r="AG139" s="496"/>
      <c r="AH139" s="496"/>
      <c r="AI139" s="496"/>
      <c r="AJ139" s="496"/>
      <c r="AK139" s="496"/>
      <c r="AL139" s="496"/>
      <c r="AM139" s="496"/>
      <c r="AN139" s="496"/>
      <c r="AO139" s="496"/>
      <c r="AP139" s="496"/>
      <c r="AQ139" s="496"/>
      <c r="AR139" s="496"/>
      <c r="AS139" s="496"/>
      <c r="AT139" s="496"/>
      <c r="AU139" s="496"/>
      <c r="AV139" s="496"/>
      <c r="AW139" s="496"/>
      <c r="AX139" s="496"/>
      <c r="AY139" s="496"/>
      <c r="AZ139" s="496"/>
      <c r="BA139" s="496"/>
      <c r="BB139" s="496"/>
      <c r="BC139" s="496"/>
      <c r="BD139" s="496"/>
      <c r="BE139" s="496"/>
      <c r="BF139" s="496"/>
      <c r="BG139" s="496"/>
      <c r="BH139" s="496"/>
      <c r="BI139" s="496"/>
      <c r="BJ139" s="496"/>
      <c r="BK139" s="496"/>
      <c r="BL139" s="496"/>
      <c r="BM139" s="496"/>
      <c r="BN139" s="496"/>
      <c r="BO139" s="496"/>
      <c r="BP139" s="496"/>
      <c r="BQ139" s="496"/>
      <c r="BR139" s="496"/>
      <c r="BS139" s="496"/>
      <c r="BT139" s="496"/>
      <c r="BU139" s="496"/>
      <c r="BV139" s="496"/>
      <c r="BW139" s="496"/>
      <c r="BX139" s="496"/>
      <c r="BY139" s="496"/>
      <c r="BZ139" s="496"/>
      <c r="CA139" s="496"/>
    </row>
    <row r="140" spans="1:79">
      <c r="G140" s="496"/>
      <c r="H140" s="496"/>
      <c r="I140" s="496"/>
      <c r="J140" s="496"/>
      <c r="K140" s="496"/>
      <c r="L140" s="496"/>
      <c r="M140" s="496"/>
      <c r="N140" s="496"/>
      <c r="O140" s="496"/>
      <c r="P140" s="496"/>
      <c r="Q140" s="496"/>
      <c r="R140" s="496"/>
      <c r="S140" s="496"/>
      <c r="T140" s="496"/>
      <c r="U140" s="496"/>
      <c r="V140" s="496"/>
      <c r="W140" s="496"/>
      <c r="X140" s="496"/>
      <c r="Y140" s="496"/>
      <c r="Z140" s="496"/>
      <c r="AA140" s="496"/>
      <c r="AB140" s="496"/>
      <c r="AC140" s="496"/>
      <c r="AD140" s="496"/>
      <c r="AE140" s="496"/>
      <c r="AF140" s="496"/>
      <c r="AG140" s="496"/>
      <c r="AH140" s="496"/>
      <c r="AI140" s="496"/>
      <c r="AJ140" s="496"/>
      <c r="AK140" s="496"/>
      <c r="AL140" s="496"/>
      <c r="AM140" s="496"/>
      <c r="AN140" s="496"/>
      <c r="AO140" s="496"/>
      <c r="AP140" s="496"/>
      <c r="AQ140" s="496"/>
      <c r="AR140" s="496"/>
      <c r="AS140" s="496"/>
      <c r="AT140" s="496"/>
      <c r="AU140" s="496"/>
      <c r="AV140" s="496"/>
      <c r="AW140" s="496"/>
      <c r="AX140" s="496"/>
      <c r="AY140" s="496"/>
      <c r="AZ140" s="496"/>
      <c r="BA140" s="496"/>
      <c r="BB140" s="496"/>
      <c r="BC140" s="496"/>
      <c r="BD140" s="496"/>
      <c r="BE140" s="496"/>
      <c r="BF140" s="496"/>
      <c r="BG140" s="496"/>
      <c r="BH140" s="496"/>
      <c r="BI140" s="496"/>
      <c r="BJ140" s="496"/>
      <c r="BK140" s="496"/>
      <c r="BL140" s="496"/>
      <c r="BM140" s="496"/>
      <c r="BN140" s="496"/>
      <c r="BO140" s="496"/>
      <c r="BP140" s="496"/>
      <c r="BQ140" s="496"/>
      <c r="BR140" s="496"/>
      <c r="BS140" s="496"/>
      <c r="BT140" s="496"/>
      <c r="BU140" s="496"/>
      <c r="BV140" s="496"/>
      <c r="BW140" s="496"/>
      <c r="BX140" s="496"/>
      <c r="BY140" s="496"/>
      <c r="BZ140" s="496"/>
      <c r="CA140" s="496"/>
    </row>
    <row r="141" spans="1:79">
      <c r="G141" s="496"/>
      <c r="H141" s="496"/>
      <c r="I141" s="496"/>
      <c r="J141" s="496"/>
      <c r="K141" s="496"/>
      <c r="L141" s="496"/>
      <c r="M141" s="496"/>
      <c r="N141" s="496"/>
      <c r="O141" s="496"/>
      <c r="P141" s="496"/>
      <c r="Q141" s="496"/>
      <c r="R141" s="496"/>
      <c r="S141" s="496"/>
      <c r="T141" s="496"/>
      <c r="U141" s="496"/>
      <c r="V141" s="496"/>
      <c r="W141" s="496"/>
      <c r="X141" s="496"/>
      <c r="Y141" s="496"/>
      <c r="Z141" s="496"/>
      <c r="AA141" s="496"/>
      <c r="AB141" s="496"/>
      <c r="AC141" s="496"/>
      <c r="AD141" s="496"/>
      <c r="AE141" s="496"/>
      <c r="AF141" s="496"/>
      <c r="AG141" s="496"/>
      <c r="AH141" s="496"/>
      <c r="AI141" s="496"/>
      <c r="AJ141" s="496"/>
      <c r="AK141" s="496"/>
      <c r="AL141" s="496"/>
      <c r="AM141" s="496"/>
      <c r="AN141" s="496"/>
      <c r="AO141" s="496"/>
      <c r="AP141" s="496"/>
      <c r="AQ141" s="496"/>
      <c r="AR141" s="496"/>
      <c r="AS141" s="496"/>
      <c r="AT141" s="496"/>
      <c r="AU141" s="496"/>
      <c r="AV141" s="496"/>
      <c r="AW141" s="496"/>
      <c r="AX141" s="496"/>
      <c r="AY141" s="496"/>
      <c r="AZ141" s="496"/>
      <c r="BA141" s="496"/>
      <c r="BB141" s="496"/>
      <c r="BC141" s="496"/>
      <c r="BD141" s="496"/>
      <c r="BE141" s="496"/>
      <c r="BF141" s="496"/>
      <c r="BG141" s="496"/>
      <c r="BH141" s="496"/>
      <c r="BI141" s="496"/>
      <c r="BJ141" s="496"/>
      <c r="BK141" s="496"/>
      <c r="BL141" s="496"/>
      <c r="BM141" s="496"/>
      <c r="BN141" s="496"/>
      <c r="BO141" s="496"/>
      <c r="BP141" s="496"/>
      <c r="BQ141" s="496"/>
      <c r="BR141" s="496"/>
      <c r="BS141" s="496"/>
      <c r="BT141" s="496"/>
      <c r="BU141" s="496"/>
      <c r="BV141" s="496"/>
      <c r="BW141" s="496"/>
      <c r="BX141" s="496"/>
      <c r="BY141" s="496"/>
      <c r="BZ141" s="496"/>
      <c r="CA141" s="496"/>
    </row>
    <row r="142" spans="1:79">
      <c r="G142" s="496"/>
      <c r="H142" s="496"/>
      <c r="I142" s="496"/>
      <c r="J142" s="496"/>
      <c r="K142" s="496"/>
      <c r="L142" s="496"/>
      <c r="M142" s="496"/>
      <c r="N142" s="496"/>
      <c r="O142" s="496"/>
      <c r="P142" s="496"/>
      <c r="Q142" s="496"/>
      <c r="R142" s="496"/>
      <c r="S142" s="496"/>
      <c r="T142" s="496"/>
      <c r="U142" s="496"/>
      <c r="V142" s="496"/>
      <c r="W142" s="496"/>
      <c r="X142" s="496"/>
      <c r="Y142" s="496"/>
      <c r="Z142" s="496"/>
      <c r="AA142" s="496"/>
      <c r="AB142" s="496"/>
      <c r="AC142" s="496"/>
      <c r="AD142" s="496"/>
      <c r="AE142" s="496"/>
      <c r="AF142" s="496"/>
      <c r="AG142" s="496"/>
      <c r="AH142" s="496"/>
      <c r="AI142" s="496"/>
      <c r="AJ142" s="496"/>
      <c r="AK142" s="496"/>
      <c r="AL142" s="496"/>
      <c r="AM142" s="496"/>
      <c r="AN142" s="496"/>
      <c r="AO142" s="496"/>
      <c r="AP142" s="496"/>
      <c r="AQ142" s="496"/>
      <c r="AR142" s="496"/>
      <c r="AS142" s="496"/>
      <c r="AT142" s="496"/>
      <c r="AU142" s="496"/>
      <c r="AV142" s="496"/>
      <c r="AW142" s="496"/>
      <c r="AX142" s="496"/>
      <c r="AY142" s="496"/>
      <c r="AZ142" s="496"/>
      <c r="BA142" s="496"/>
      <c r="BB142" s="496"/>
      <c r="BC142" s="496"/>
      <c r="BD142" s="496"/>
      <c r="BE142" s="496"/>
      <c r="BF142" s="496"/>
      <c r="BG142" s="496"/>
      <c r="BH142" s="496"/>
      <c r="BI142" s="496"/>
      <c r="BJ142" s="496"/>
      <c r="BK142" s="496"/>
      <c r="BL142" s="496"/>
      <c r="BM142" s="496"/>
      <c r="BN142" s="496"/>
      <c r="BO142" s="496"/>
      <c r="BP142" s="496"/>
      <c r="BQ142" s="496"/>
      <c r="BR142" s="496"/>
      <c r="BS142" s="496"/>
      <c r="BT142" s="496"/>
      <c r="BU142" s="496"/>
      <c r="BV142" s="496"/>
      <c r="BW142" s="496"/>
      <c r="BX142" s="496"/>
      <c r="BY142" s="496"/>
      <c r="BZ142" s="496"/>
      <c r="CA142" s="496"/>
    </row>
    <row r="143" spans="1:79">
      <c r="G143" s="496"/>
      <c r="H143" s="496"/>
      <c r="I143" s="496"/>
      <c r="J143" s="496"/>
      <c r="K143" s="496"/>
      <c r="L143" s="496"/>
      <c r="M143" s="496"/>
      <c r="N143" s="496"/>
      <c r="O143" s="496"/>
      <c r="P143" s="496"/>
      <c r="Q143" s="496"/>
      <c r="R143" s="496"/>
      <c r="S143" s="496"/>
      <c r="T143" s="496"/>
      <c r="U143" s="496"/>
      <c r="V143" s="496"/>
      <c r="W143" s="496"/>
      <c r="X143" s="496"/>
      <c r="Y143" s="496"/>
      <c r="Z143" s="496"/>
      <c r="AA143" s="496"/>
      <c r="AB143" s="496"/>
      <c r="AC143" s="496"/>
      <c r="AD143" s="496"/>
      <c r="AE143" s="496"/>
      <c r="AF143" s="496"/>
      <c r="AG143" s="496"/>
      <c r="AH143" s="496"/>
      <c r="AI143" s="496"/>
      <c r="AJ143" s="496"/>
      <c r="AK143" s="496"/>
      <c r="AL143" s="496"/>
      <c r="AM143" s="496"/>
      <c r="AN143" s="496"/>
      <c r="AO143" s="496"/>
      <c r="AP143" s="496"/>
      <c r="AQ143" s="496"/>
      <c r="AR143" s="496"/>
      <c r="AS143" s="496"/>
      <c r="AT143" s="496"/>
      <c r="AU143" s="496"/>
      <c r="AV143" s="496"/>
      <c r="AW143" s="496"/>
      <c r="AX143" s="496"/>
      <c r="AY143" s="496"/>
      <c r="AZ143" s="496"/>
      <c r="BA143" s="496"/>
      <c r="BB143" s="496"/>
      <c r="BC143" s="496"/>
      <c r="BD143" s="496"/>
      <c r="BE143" s="496"/>
      <c r="BF143" s="496"/>
      <c r="BG143" s="496"/>
      <c r="BH143" s="496"/>
      <c r="BI143" s="496"/>
      <c r="BJ143" s="496"/>
      <c r="BK143" s="496"/>
      <c r="BL143" s="496"/>
      <c r="BM143" s="496"/>
      <c r="BN143" s="496"/>
      <c r="BO143" s="496"/>
      <c r="BP143" s="496"/>
      <c r="BQ143" s="496"/>
      <c r="BR143" s="496"/>
      <c r="BS143" s="496"/>
      <c r="BT143" s="496"/>
      <c r="BU143" s="496"/>
      <c r="BV143" s="496"/>
      <c r="BW143" s="496"/>
      <c r="BX143" s="496"/>
      <c r="BY143" s="496"/>
      <c r="BZ143" s="496"/>
      <c r="CA143" s="496"/>
    </row>
    <row r="144" spans="1:79">
      <c r="G144" s="496"/>
      <c r="H144" s="496"/>
      <c r="I144" s="496"/>
      <c r="J144" s="496"/>
      <c r="K144" s="496"/>
      <c r="L144" s="496"/>
      <c r="M144" s="496"/>
      <c r="N144" s="496"/>
      <c r="O144" s="496"/>
      <c r="P144" s="496"/>
      <c r="Q144" s="496"/>
      <c r="R144" s="496"/>
      <c r="S144" s="496"/>
      <c r="T144" s="496"/>
      <c r="U144" s="496"/>
      <c r="V144" s="496"/>
      <c r="W144" s="496"/>
      <c r="X144" s="496"/>
      <c r="Y144" s="496"/>
      <c r="Z144" s="496"/>
      <c r="AA144" s="496"/>
      <c r="AB144" s="496"/>
      <c r="AC144" s="496"/>
      <c r="AD144" s="496"/>
      <c r="AE144" s="496"/>
      <c r="AF144" s="496"/>
      <c r="AG144" s="496"/>
      <c r="AH144" s="496"/>
      <c r="AI144" s="496"/>
      <c r="AJ144" s="496"/>
      <c r="AK144" s="496"/>
      <c r="AL144" s="496"/>
      <c r="AM144" s="496"/>
      <c r="AN144" s="496"/>
      <c r="AO144" s="496"/>
      <c r="AP144" s="496"/>
      <c r="AQ144" s="496"/>
      <c r="AR144" s="496"/>
      <c r="AS144" s="496"/>
      <c r="AT144" s="496"/>
      <c r="AU144" s="496"/>
      <c r="AV144" s="496"/>
      <c r="AW144" s="496"/>
      <c r="AX144" s="496"/>
      <c r="AY144" s="496"/>
      <c r="AZ144" s="496"/>
      <c r="BA144" s="496"/>
      <c r="BB144" s="496"/>
      <c r="BC144" s="496"/>
      <c r="BD144" s="496"/>
      <c r="BE144" s="496"/>
      <c r="BF144" s="496"/>
      <c r="BG144" s="496"/>
      <c r="BH144" s="496"/>
      <c r="BI144" s="496"/>
      <c r="BJ144" s="496"/>
      <c r="BK144" s="496"/>
      <c r="BL144" s="496"/>
      <c r="BM144" s="496"/>
      <c r="BN144" s="496"/>
      <c r="BO144" s="496"/>
      <c r="BP144" s="496"/>
      <c r="BQ144" s="496"/>
      <c r="BR144" s="496"/>
      <c r="BS144" s="496"/>
      <c r="BT144" s="496"/>
      <c r="BU144" s="496"/>
      <c r="BV144" s="496"/>
      <c r="BW144" s="496"/>
      <c r="BX144" s="496"/>
      <c r="BY144" s="496"/>
      <c r="BZ144" s="496"/>
      <c r="CA144" s="496"/>
    </row>
    <row r="145" spans="7:79">
      <c r="G145" s="496"/>
      <c r="H145" s="496"/>
      <c r="I145" s="496"/>
      <c r="J145" s="496"/>
      <c r="K145" s="496"/>
      <c r="L145" s="496"/>
      <c r="M145" s="496"/>
      <c r="N145" s="496"/>
      <c r="O145" s="496"/>
      <c r="P145" s="496"/>
      <c r="Q145" s="496"/>
      <c r="R145" s="496"/>
      <c r="S145" s="496"/>
      <c r="T145" s="496"/>
      <c r="U145" s="496"/>
      <c r="V145" s="496"/>
      <c r="W145" s="496"/>
      <c r="X145" s="496"/>
      <c r="Y145" s="496"/>
      <c r="Z145" s="496"/>
      <c r="AA145" s="496"/>
      <c r="AB145" s="496"/>
      <c r="AC145" s="496"/>
      <c r="AD145" s="496"/>
      <c r="AE145" s="496"/>
      <c r="AF145" s="496"/>
      <c r="AG145" s="496"/>
      <c r="AH145" s="496"/>
      <c r="AI145" s="496"/>
      <c r="AJ145" s="496"/>
      <c r="AK145" s="496"/>
      <c r="AL145" s="496"/>
      <c r="AM145" s="496"/>
      <c r="AN145" s="496"/>
      <c r="AO145" s="496"/>
      <c r="AP145" s="496"/>
      <c r="AQ145" s="496"/>
      <c r="AR145" s="496"/>
      <c r="AS145" s="496"/>
      <c r="AT145" s="496"/>
      <c r="AU145" s="496"/>
      <c r="AV145" s="496"/>
      <c r="AW145" s="496"/>
      <c r="AX145" s="496"/>
      <c r="AY145" s="496"/>
      <c r="AZ145" s="496"/>
      <c r="BA145" s="496"/>
      <c r="BB145" s="496"/>
      <c r="BC145" s="496"/>
      <c r="BD145" s="496"/>
      <c r="BE145" s="496"/>
      <c r="BF145" s="496"/>
      <c r="BG145" s="496"/>
      <c r="BH145" s="496"/>
      <c r="BI145" s="496"/>
      <c r="BJ145" s="496"/>
      <c r="BK145" s="496"/>
      <c r="BL145" s="496"/>
      <c r="BM145" s="496"/>
      <c r="BN145" s="496"/>
      <c r="BO145" s="496"/>
      <c r="BP145" s="496"/>
      <c r="BQ145" s="496"/>
      <c r="BR145" s="496"/>
      <c r="BS145" s="496"/>
      <c r="BT145" s="496"/>
      <c r="BU145" s="496"/>
      <c r="BV145" s="496"/>
      <c r="BW145" s="496"/>
      <c r="BX145" s="496"/>
      <c r="BY145" s="496"/>
      <c r="BZ145" s="496"/>
      <c r="CA145" s="496"/>
    </row>
    <row r="146" spans="7:79">
      <c r="G146" s="496"/>
      <c r="H146" s="496"/>
      <c r="I146" s="496"/>
      <c r="J146" s="496"/>
      <c r="K146" s="496"/>
      <c r="L146" s="496"/>
      <c r="M146" s="496"/>
      <c r="N146" s="496"/>
      <c r="O146" s="496"/>
      <c r="P146" s="496"/>
      <c r="Q146" s="496"/>
      <c r="R146" s="496"/>
      <c r="S146" s="496"/>
      <c r="T146" s="496"/>
      <c r="U146" s="496"/>
      <c r="V146" s="496"/>
      <c r="W146" s="496"/>
      <c r="X146" s="496"/>
      <c r="Y146" s="496"/>
      <c r="Z146" s="496"/>
      <c r="AA146" s="496"/>
      <c r="AB146" s="496"/>
      <c r="AC146" s="496"/>
      <c r="AD146" s="496"/>
      <c r="AE146" s="496"/>
      <c r="AF146" s="496"/>
      <c r="AG146" s="496"/>
      <c r="AH146" s="496"/>
      <c r="AI146" s="496"/>
      <c r="AJ146" s="496"/>
      <c r="AK146" s="496"/>
      <c r="AL146" s="496"/>
      <c r="AM146" s="496"/>
      <c r="AN146" s="496"/>
      <c r="AO146" s="496"/>
      <c r="AP146" s="496"/>
      <c r="AQ146" s="496"/>
      <c r="AR146" s="496"/>
      <c r="AS146" s="496"/>
      <c r="AT146" s="496"/>
      <c r="AU146" s="496"/>
      <c r="AV146" s="496"/>
      <c r="AW146" s="496"/>
      <c r="AX146" s="496"/>
      <c r="AY146" s="496"/>
      <c r="AZ146" s="496"/>
      <c r="BA146" s="496"/>
      <c r="BB146" s="496"/>
      <c r="BC146" s="496"/>
      <c r="BD146" s="496"/>
      <c r="BE146" s="496"/>
      <c r="BF146" s="496"/>
      <c r="BG146" s="496"/>
      <c r="BH146" s="496"/>
      <c r="BI146" s="496"/>
      <c r="BJ146" s="496"/>
      <c r="BK146" s="496"/>
      <c r="BL146" s="496"/>
      <c r="BM146" s="496"/>
      <c r="BN146" s="496"/>
      <c r="BO146" s="496"/>
      <c r="BP146" s="496"/>
      <c r="BQ146" s="496"/>
      <c r="BR146" s="496"/>
      <c r="BS146" s="496"/>
      <c r="BT146" s="496"/>
      <c r="BU146" s="496"/>
      <c r="BV146" s="496"/>
      <c r="BW146" s="496"/>
      <c r="BX146" s="496"/>
      <c r="BY146" s="496"/>
      <c r="BZ146" s="496"/>
      <c r="CA146" s="496"/>
    </row>
    <row r="147" spans="7:79">
      <c r="G147" s="496"/>
      <c r="H147" s="496"/>
      <c r="I147" s="496"/>
      <c r="J147" s="496"/>
      <c r="K147" s="496"/>
      <c r="L147" s="496"/>
      <c r="M147" s="496"/>
      <c r="N147" s="496"/>
      <c r="O147" s="496"/>
      <c r="P147" s="496"/>
      <c r="Q147" s="496"/>
      <c r="R147" s="496"/>
      <c r="S147" s="496"/>
      <c r="T147" s="496"/>
      <c r="U147" s="496"/>
      <c r="V147" s="496"/>
      <c r="W147" s="496"/>
      <c r="X147" s="496"/>
      <c r="Y147" s="496"/>
      <c r="Z147" s="496"/>
      <c r="AA147" s="496"/>
      <c r="AB147" s="496"/>
      <c r="AC147" s="496"/>
      <c r="AD147" s="496"/>
      <c r="AE147" s="496"/>
      <c r="AF147" s="496"/>
      <c r="AG147" s="496"/>
      <c r="AH147" s="496"/>
      <c r="AI147" s="496"/>
      <c r="AJ147" s="496"/>
      <c r="AK147" s="496"/>
      <c r="AL147" s="496"/>
      <c r="AM147" s="496"/>
      <c r="AN147" s="496"/>
      <c r="AO147" s="496"/>
      <c r="AP147" s="496"/>
      <c r="AQ147" s="496"/>
      <c r="AR147" s="496"/>
      <c r="AS147" s="496"/>
      <c r="AT147" s="496"/>
      <c r="AU147" s="496"/>
      <c r="AV147" s="496"/>
      <c r="AW147" s="496"/>
      <c r="AX147" s="496"/>
      <c r="AY147" s="496"/>
      <c r="AZ147" s="496"/>
      <c r="BA147" s="496"/>
      <c r="BB147" s="496"/>
      <c r="BC147" s="496"/>
      <c r="BD147" s="496"/>
      <c r="BE147" s="496"/>
      <c r="BF147" s="496"/>
      <c r="BG147" s="496"/>
      <c r="BH147" s="496"/>
      <c r="BI147" s="496"/>
      <c r="BJ147" s="496"/>
      <c r="BK147" s="496"/>
      <c r="BL147" s="496"/>
      <c r="BM147" s="496"/>
      <c r="BN147" s="496"/>
      <c r="BO147" s="496"/>
      <c r="BP147" s="496"/>
      <c r="BQ147" s="496"/>
      <c r="BR147" s="496"/>
      <c r="BS147" s="496"/>
      <c r="BT147" s="496"/>
      <c r="BU147" s="496"/>
      <c r="BV147" s="496"/>
      <c r="BW147" s="496"/>
      <c r="BX147" s="496"/>
      <c r="BY147" s="496"/>
      <c r="BZ147" s="496"/>
      <c r="CA147" s="496"/>
    </row>
    <row r="148" spans="7:79">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6"/>
      <c r="AK148" s="496"/>
      <c r="AL148" s="496"/>
      <c r="AM148" s="496"/>
      <c r="AN148" s="496"/>
      <c r="AO148" s="496"/>
      <c r="AP148" s="496"/>
      <c r="AQ148" s="496"/>
      <c r="AR148" s="496"/>
      <c r="AS148" s="496"/>
      <c r="AT148" s="496"/>
      <c r="AU148" s="496"/>
      <c r="AV148" s="496"/>
      <c r="AW148" s="496"/>
      <c r="AX148" s="496"/>
      <c r="AY148" s="496"/>
      <c r="AZ148" s="496"/>
      <c r="BA148" s="496"/>
      <c r="BB148" s="496"/>
      <c r="BC148" s="496"/>
      <c r="BD148" s="496"/>
      <c r="BE148" s="496"/>
      <c r="BF148" s="496"/>
      <c r="BG148" s="496"/>
      <c r="BH148" s="496"/>
      <c r="BI148" s="496"/>
      <c r="BJ148" s="496"/>
      <c r="BK148" s="496"/>
      <c r="BL148" s="496"/>
      <c r="BM148" s="496"/>
      <c r="BN148" s="496"/>
      <c r="BO148" s="496"/>
      <c r="BP148" s="496"/>
      <c r="BQ148" s="496"/>
      <c r="BR148" s="496"/>
      <c r="BS148" s="496"/>
      <c r="BT148" s="496"/>
      <c r="BU148" s="496"/>
      <c r="BV148" s="496"/>
      <c r="BW148" s="496"/>
      <c r="BX148" s="496"/>
      <c r="BY148" s="496"/>
      <c r="BZ148" s="496"/>
      <c r="CA148" s="496"/>
    </row>
    <row r="149" spans="7:79">
      <c r="G149" s="496"/>
      <c r="H149" s="496"/>
      <c r="I149" s="496"/>
      <c r="J149" s="496"/>
      <c r="K149" s="496"/>
      <c r="L149" s="496"/>
      <c r="M149" s="496"/>
      <c r="N149" s="496"/>
      <c r="O149" s="496"/>
      <c r="P149" s="496"/>
      <c r="Q149" s="496"/>
      <c r="R149" s="496"/>
      <c r="S149" s="496"/>
      <c r="T149" s="496"/>
      <c r="U149" s="496"/>
      <c r="V149" s="496"/>
      <c r="W149" s="496"/>
      <c r="X149" s="496"/>
      <c r="Y149" s="496"/>
      <c r="Z149" s="496"/>
      <c r="AA149" s="496"/>
      <c r="AB149" s="496"/>
      <c r="AC149" s="496"/>
      <c r="AD149" s="496"/>
      <c r="AE149" s="496"/>
      <c r="AF149" s="496"/>
      <c r="AG149" s="496"/>
      <c r="AH149" s="496"/>
      <c r="AI149" s="496"/>
      <c r="AJ149" s="496"/>
      <c r="AK149" s="496"/>
      <c r="AL149" s="496"/>
      <c r="AM149" s="496"/>
      <c r="AN149" s="496"/>
      <c r="AO149" s="496"/>
      <c r="AP149" s="496"/>
      <c r="AQ149" s="496"/>
      <c r="AR149" s="496"/>
      <c r="AS149" s="496"/>
      <c r="AT149" s="496"/>
      <c r="AU149" s="496"/>
      <c r="AV149" s="496"/>
      <c r="AW149" s="496"/>
      <c r="AX149" s="496"/>
      <c r="AY149" s="496"/>
      <c r="AZ149" s="496"/>
      <c r="BA149" s="496"/>
      <c r="BB149" s="496"/>
      <c r="BC149" s="496"/>
      <c r="BD149" s="496"/>
      <c r="BE149" s="496"/>
      <c r="BF149" s="496"/>
      <c r="BG149" s="496"/>
      <c r="BH149" s="496"/>
      <c r="BI149" s="496"/>
      <c r="BJ149" s="496"/>
      <c r="BK149" s="496"/>
      <c r="BL149" s="496"/>
      <c r="BM149" s="496"/>
      <c r="BN149" s="496"/>
      <c r="BO149" s="496"/>
      <c r="BP149" s="496"/>
      <c r="BQ149" s="496"/>
      <c r="BR149" s="496"/>
      <c r="BS149" s="496"/>
      <c r="BT149" s="496"/>
      <c r="BU149" s="496"/>
      <c r="BV149" s="496"/>
      <c r="BW149" s="496"/>
      <c r="BX149" s="496"/>
      <c r="BY149" s="496"/>
      <c r="BZ149" s="496"/>
      <c r="CA149" s="496"/>
    </row>
    <row r="150" spans="7:79">
      <c r="G150" s="496"/>
      <c r="H150" s="496"/>
      <c r="I150" s="496"/>
      <c r="J150" s="496"/>
      <c r="K150" s="496"/>
      <c r="L150" s="496"/>
      <c r="M150" s="496"/>
      <c r="N150" s="496"/>
      <c r="O150" s="496"/>
      <c r="P150" s="496"/>
      <c r="Q150" s="496"/>
      <c r="R150" s="496"/>
      <c r="S150" s="496"/>
      <c r="T150" s="496"/>
      <c r="U150" s="496"/>
      <c r="V150" s="496"/>
      <c r="W150" s="496"/>
      <c r="X150" s="496"/>
      <c r="Y150" s="496"/>
      <c r="Z150" s="496"/>
      <c r="AA150" s="496"/>
      <c r="AB150" s="496"/>
      <c r="AC150" s="496"/>
      <c r="AD150" s="496"/>
      <c r="AE150" s="496"/>
      <c r="AF150" s="496"/>
      <c r="AG150" s="496"/>
      <c r="AH150" s="496"/>
      <c r="AI150" s="496"/>
      <c r="AJ150" s="496"/>
      <c r="AK150" s="496"/>
      <c r="AL150" s="496"/>
      <c r="AM150" s="496"/>
      <c r="AN150" s="496"/>
      <c r="AO150" s="496"/>
      <c r="AP150" s="496"/>
      <c r="AQ150" s="496"/>
      <c r="AR150" s="496"/>
      <c r="AS150" s="496"/>
      <c r="AT150" s="496"/>
      <c r="AU150" s="496"/>
      <c r="AV150" s="496"/>
      <c r="AW150" s="496"/>
      <c r="AX150" s="496"/>
      <c r="AY150" s="496"/>
      <c r="AZ150" s="496"/>
      <c r="BA150" s="496"/>
      <c r="BB150" s="496"/>
      <c r="BC150" s="496"/>
      <c r="BD150" s="496"/>
      <c r="BE150" s="496"/>
      <c r="BF150" s="496"/>
      <c r="BG150" s="496"/>
      <c r="BH150" s="496"/>
      <c r="BI150" s="496"/>
      <c r="BJ150" s="496"/>
      <c r="BK150" s="496"/>
      <c r="BL150" s="496"/>
      <c r="BM150" s="496"/>
      <c r="BN150" s="496"/>
      <c r="BO150" s="496"/>
      <c r="BP150" s="496"/>
      <c r="BQ150" s="496"/>
      <c r="BR150" s="496"/>
      <c r="BS150" s="496"/>
      <c r="BT150" s="496"/>
      <c r="BU150" s="496"/>
      <c r="BV150" s="496"/>
      <c r="BW150" s="496"/>
      <c r="BX150" s="496"/>
      <c r="BY150" s="496"/>
      <c r="BZ150" s="496"/>
      <c r="CA150" s="496"/>
    </row>
    <row r="151" spans="7:79">
      <c r="G151" s="496"/>
      <c r="H151" s="496"/>
      <c r="I151" s="496"/>
      <c r="J151" s="496"/>
      <c r="K151" s="496"/>
      <c r="L151" s="496"/>
      <c r="M151" s="496"/>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6"/>
      <c r="AJ151" s="496"/>
      <c r="AK151" s="496"/>
      <c r="AL151" s="496"/>
      <c r="AM151" s="496"/>
      <c r="AN151" s="496"/>
      <c r="AO151" s="496"/>
      <c r="AP151" s="496"/>
      <c r="AQ151" s="496"/>
      <c r="AR151" s="496"/>
      <c r="AS151" s="496"/>
      <c r="AT151" s="496"/>
      <c r="AU151" s="496"/>
      <c r="AV151" s="496"/>
      <c r="AW151" s="496"/>
      <c r="AX151" s="496"/>
      <c r="AY151" s="496"/>
      <c r="AZ151" s="496"/>
      <c r="BA151" s="496"/>
      <c r="BB151" s="496"/>
      <c r="BC151" s="496"/>
      <c r="BD151" s="496"/>
      <c r="BE151" s="496"/>
      <c r="BF151" s="496"/>
      <c r="BG151" s="496"/>
      <c r="BH151" s="496"/>
      <c r="BI151" s="496"/>
      <c r="BJ151" s="496"/>
      <c r="BK151" s="496"/>
      <c r="BL151" s="496"/>
      <c r="BM151" s="496"/>
      <c r="BN151" s="496"/>
      <c r="BO151" s="496"/>
      <c r="BP151" s="496"/>
      <c r="BQ151" s="496"/>
      <c r="BR151" s="496"/>
      <c r="BS151" s="496"/>
      <c r="BT151" s="496"/>
      <c r="BU151" s="496"/>
      <c r="BV151" s="496"/>
      <c r="BW151" s="496"/>
      <c r="BX151" s="496"/>
      <c r="BY151" s="496"/>
      <c r="BZ151" s="496"/>
      <c r="CA151" s="496"/>
    </row>
    <row r="152" spans="7:79">
      <c r="G152" s="496"/>
      <c r="H152" s="496"/>
      <c r="I152" s="496"/>
      <c r="J152" s="496"/>
      <c r="K152" s="496"/>
      <c r="L152" s="496"/>
      <c r="M152" s="496"/>
      <c r="N152" s="496"/>
      <c r="O152" s="496"/>
      <c r="P152" s="496"/>
      <c r="Q152" s="496"/>
      <c r="R152" s="496"/>
      <c r="S152" s="496"/>
      <c r="T152" s="496"/>
      <c r="U152" s="496"/>
      <c r="V152" s="496"/>
      <c r="W152" s="496"/>
      <c r="X152" s="496"/>
      <c r="Y152" s="496"/>
      <c r="Z152" s="496"/>
      <c r="AA152" s="496"/>
      <c r="AB152" s="496"/>
      <c r="AC152" s="496"/>
      <c r="AD152" s="496"/>
      <c r="AE152" s="496"/>
      <c r="AF152" s="496"/>
      <c r="AG152" s="496"/>
      <c r="AH152" s="496"/>
      <c r="AI152" s="496"/>
      <c r="AJ152" s="496"/>
      <c r="AK152" s="496"/>
      <c r="AL152" s="496"/>
      <c r="AM152" s="496"/>
      <c r="AN152" s="496"/>
      <c r="AO152" s="496"/>
      <c r="AP152" s="496"/>
      <c r="AQ152" s="496"/>
      <c r="AR152" s="496"/>
      <c r="AS152" s="496"/>
      <c r="AT152" s="496"/>
      <c r="AU152" s="496"/>
      <c r="AV152" s="496"/>
      <c r="AW152" s="496"/>
      <c r="AX152" s="496"/>
      <c r="AY152" s="496"/>
      <c r="AZ152" s="496"/>
      <c r="BA152" s="496"/>
      <c r="BB152" s="496"/>
      <c r="BC152" s="496"/>
      <c r="BD152" s="496"/>
      <c r="BE152" s="496"/>
      <c r="BF152" s="496"/>
      <c r="BG152" s="496"/>
      <c r="BH152" s="496"/>
      <c r="BI152" s="496"/>
      <c r="BJ152" s="496"/>
      <c r="BK152" s="496"/>
      <c r="BL152" s="496"/>
      <c r="BM152" s="496"/>
      <c r="BN152" s="496"/>
      <c r="BO152" s="496"/>
      <c r="BP152" s="496"/>
      <c r="BQ152" s="496"/>
      <c r="BR152" s="496"/>
      <c r="BS152" s="496"/>
      <c r="BT152" s="496"/>
      <c r="BU152" s="496"/>
      <c r="BV152" s="496"/>
      <c r="BW152" s="496"/>
      <c r="BX152" s="496"/>
      <c r="BY152" s="496"/>
      <c r="BZ152" s="496"/>
      <c r="CA152" s="496"/>
    </row>
    <row r="153" spans="7:79">
      <c r="G153" s="496"/>
      <c r="H153" s="496"/>
      <c r="I153" s="496"/>
      <c r="J153" s="496"/>
      <c r="K153" s="496"/>
      <c r="L153" s="496"/>
      <c r="M153" s="496"/>
      <c r="N153" s="496"/>
      <c r="O153" s="496"/>
      <c r="P153" s="496"/>
      <c r="Q153" s="496"/>
      <c r="R153" s="496"/>
      <c r="S153" s="496"/>
      <c r="T153" s="496"/>
      <c r="U153" s="496"/>
      <c r="V153" s="496"/>
      <c r="W153" s="496"/>
      <c r="X153" s="496"/>
      <c r="Y153" s="496"/>
      <c r="Z153" s="496"/>
      <c r="AA153" s="496"/>
      <c r="AB153" s="496"/>
      <c r="AC153" s="496"/>
      <c r="AD153" s="496"/>
      <c r="AE153" s="496"/>
      <c r="AF153" s="496"/>
      <c r="AG153" s="496"/>
      <c r="AH153" s="496"/>
      <c r="AI153" s="496"/>
      <c r="AJ153" s="496"/>
      <c r="AK153" s="496"/>
      <c r="AL153" s="496"/>
      <c r="AM153" s="496"/>
      <c r="AN153" s="496"/>
      <c r="AO153" s="496"/>
      <c r="AP153" s="496"/>
      <c r="AQ153" s="496"/>
      <c r="AR153" s="496"/>
      <c r="AS153" s="496"/>
      <c r="AT153" s="496"/>
      <c r="AU153" s="496"/>
      <c r="AV153" s="496"/>
      <c r="AW153" s="496"/>
      <c r="AX153" s="496"/>
      <c r="AY153" s="496"/>
      <c r="AZ153" s="496"/>
      <c r="BA153" s="496"/>
      <c r="BB153" s="496"/>
      <c r="BC153" s="496"/>
      <c r="BD153" s="496"/>
      <c r="BE153" s="496"/>
      <c r="BF153" s="496"/>
      <c r="BG153" s="496"/>
      <c r="BH153" s="496"/>
      <c r="BI153" s="496"/>
      <c r="BJ153" s="496"/>
      <c r="BK153" s="496"/>
      <c r="BL153" s="496"/>
      <c r="BM153" s="496"/>
      <c r="BN153" s="496"/>
      <c r="BO153" s="496"/>
      <c r="BP153" s="496"/>
      <c r="BQ153" s="496"/>
      <c r="BR153" s="496"/>
      <c r="BS153" s="496"/>
      <c r="BT153" s="496"/>
      <c r="BU153" s="496"/>
      <c r="BV153" s="496"/>
      <c r="BW153" s="496"/>
      <c r="BX153" s="496"/>
      <c r="BY153" s="496"/>
      <c r="BZ153" s="496"/>
      <c r="CA153" s="496"/>
    </row>
    <row r="154" spans="7:79">
      <c r="G154" s="496"/>
      <c r="H154" s="496"/>
      <c r="I154" s="496"/>
      <c r="J154" s="496"/>
      <c r="K154" s="496"/>
      <c r="L154" s="496"/>
      <c r="M154" s="496"/>
      <c r="N154" s="496"/>
      <c r="O154" s="496"/>
      <c r="P154" s="496"/>
      <c r="Q154" s="496"/>
      <c r="R154" s="496"/>
      <c r="S154" s="496"/>
      <c r="T154" s="496"/>
      <c r="U154" s="496"/>
      <c r="V154" s="496"/>
      <c r="W154" s="496"/>
      <c r="X154" s="496"/>
      <c r="Y154" s="496"/>
      <c r="Z154" s="496"/>
      <c r="AA154" s="496"/>
      <c r="AB154" s="496"/>
      <c r="AC154" s="496"/>
      <c r="AD154" s="496"/>
      <c r="AE154" s="496"/>
      <c r="AF154" s="496"/>
      <c r="AG154" s="496"/>
      <c r="AH154" s="496"/>
      <c r="AI154" s="496"/>
      <c r="AJ154" s="496"/>
      <c r="AK154" s="496"/>
      <c r="AL154" s="496"/>
      <c r="AM154" s="496"/>
      <c r="AN154" s="496"/>
      <c r="AO154" s="496"/>
      <c r="AP154" s="496"/>
      <c r="AQ154" s="496"/>
      <c r="AR154" s="496"/>
      <c r="AS154" s="496"/>
      <c r="AT154" s="496"/>
      <c r="AU154" s="496"/>
      <c r="AV154" s="496"/>
      <c r="AW154" s="496"/>
      <c r="AX154" s="496"/>
      <c r="AY154" s="496"/>
      <c r="AZ154" s="496"/>
      <c r="BA154" s="496"/>
      <c r="BB154" s="496"/>
      <c r="BC154" s="496"/>
      <c r="BD154" s="496"/>
      <c r="BE154" s="496"/>
      <c r="BF154" s="496"/>
      <c r="BG154" s="496"/>
      <c r="BH154" s="496"/>
      <c r="BI154" s="496"/>
      <c r="BJ154" s="496"/>
      <c r="BK154" s="496"/>
      <c r="BL154" s="496"/>
      <c r="BM154" s="496"/>
      <c r="BN154" s="496"/>
      <c r="BO154" s="496"/>
      <c r="BP154" s="496"/>
      <c r="BQ154" s="496"/>
      <c r="BR154" s="496"/>
      <c r="BS154" s="496"/>
      <c r="BT154" s="496"/>
      <c r="BU154" s="496"/>
      <c r="BV154" s="496"/>
      <c r="BW154" s="496"/>
      <c r="BX154" s="496"/>
      <c r="BY154" s="496"/>
      <c r="BZ154" s="496"/>
      <c r="CA154" s="496"/>
    </row>
    <row r="155" spans="7:79">
      <c r="G155" s="496"/>
      <c r="H155" s="496"/>
      <c r="I155" s="496"/>
      <c r="J155" s="496"/>
      <c r="K155" s="496"/>
      <c r="L155" s="496"/>
      <c r="M155" s="496"/>
      <c r="N155" s="496"/>
      <c r="O155" s="496"/>
      <c r="P155" s="496"/>
      <c r="Q155" s="496"/>
      <c r="R155" s="496"/>
      <c r="S155" s="496"/>
      <c r="T155" s="496"/>
      <c r="U155" s="496"/>
      <c r="V155" s="496"/>
      <c r="W155" s="496"/>
      <c r="X155" s="496"/>
      <c r="Y155" s="496"/>
      <c r="Z155" s="496"/>
      <c r="AA155" s="496"/>
      <c r="AB155" s="496"/>
      <c r="AC155" s="496"/>
      <c r="AD155" s="496"/>
      <c r="AE155" s="496"/>
      <c r="AF155" s="496"/>
      <c r="AG155" s="496"/>
      <c r="AH155" s="496"/>
      <c r="AI155" s="496"/>
      <c r="AJ155" s="496"/>
      <c r="AK155" s="496"/>
      <c r="AL155" s="496"/>
      <c r="AM155" s="496"/>
      <c r="AN155" s="496"/>
      <c r="AO155" s="496"/>
      <c r="AP155" s="496"/>
      <c r="AQ155" s="496"/>
      <c r="AR155" s="496"/>
      <c r="AS155" s="496"/>
      <c r="AT155" s="496"/>
      <c r="AU155" s="496"/>
      <c r="AV155" s="496"/>
      <c r="AW155" s="496"/>
      <c r="AX155" s="496"/>
      <c r="AY155" s="496"/>
      <c r="AZ155" s="496"/>
      <c r="BA155" s="496"/>
      <c r="BB155" s="496"/>
      <c r="BC155" s="496"/>
      <c r="BD155" s="496"/>
      <c r="BE155" s="496"/>
      <c r="BF155" s="496"/>
      <c r="BG155" s="496"/>
      <c r="BH155" s="496"/>
      <c r="BI155" s="496"/>
      <c r="BJ155" s="496"/>
      <c r="BK155" s="496"/>
      <c r="BL155" s="496"/>
      <c r="BM155" s="496"/>
      <c r="BN155" s="496"/>
      <c r="BO155" s="496"/>
      <c r="BP155" s="496"/>
      <c r="BQ155" s="496"/>
      <c r="BR155" s="496"/>
      <c r="BS155" s="496"/>
      <c r="BT155" s="496"/>
      <c r="BU155" s="496"/>
      <c r="BV155" s="496"/>
      <c r="BW155" s="496"/>
      <c r="BX155" s="496"/>
      <c r="BY155" s="496"/>
      <c r="BZ155" s="496"/>
      <c r="CA155" s="496"/>
    </row>
    <row r="156" spans="7:79">
      <c r="G156" s="496"/>
      <c r="H156" s="496"/>
      <c r="I156" s="496"/>
      <c r="J156" s="496"/>
      <c r="K156" s="496"/>
      <c r="L156" s="496"/>
      <c r="M156" s="496"/>
      <c r="N156" s="496"/>
      <c r="O156" s="496"/>
      <c r="P156" s="496"/>
      <c r="Q156" s="496"/>
      <c r="R156" s="496"/>
      <c r="S156" s="496"/>
      <c r="T156" s="496"/>
      <c r="U156" s="496"/>
      <c r="V156" s="496"/>
      <c r="W156" s="496"/>
      <c r="X156" s="496"/>
      <c r="Y156" s="496"/>
      <c r="Z156" s="496"/>
      <c r="AA156" s="496"/>
      <c r="AB156" s="496"/>
      <c r="AC156" s="496"/>
      <c r="AD156" s="496"/>
      <c r="AE156" s="496"/>
      <c r="AF156" s="496"/>
      <c r="AG156" s="496"/>
      <c r="AH156" s="496"/>
      <c r="AI156" s="496"/>
      <c r="AJ156" s="496"/>
      <c r="AK156" s="496"/>
      <c r="AL156" s="496"/>
      <c r="AM156" s="496"/>
      <c r="AN156" s="496"/>
      <c r="AO156" s="496"/>
      <c r="AP156" s="496"/>
      <c r="AQ156" s="496"/>
      <c r="AR156" s="496"/>
      <c r="AS156" s="496"/>
      <c r="AT156" s="496"/>
      <c r="AU156" s="496"/>
      <c r="AV156" s="496"/>
      <c r="AW156" s="496"/>
      <c r="AX156" s="496"/>
      <c r="AY156" s="496"/>
      <c r="AZ156" s="496"/>
      <c r="BA156" s="496"/>
      <c r="BB156" s="496"/>
      <c r="BC156" s="496"/>
      <c r="BD156" s="496"/>
      <c r="BE156" s="496"/>
      <c r="BF156" s="496"/>
      <c r="BG156" s="496"/>
      <c r="BH156" s="496"/>
      <c r="BI156" s="496"/>
      <c r="BJ156" s="496"/>
      <c r="BK156" s="496"/>
      <c r="BL156" s="496"/>
      <c r="BM156" s="496"/>
      <c r="BN156" s="496"/>
      <c r="BO156" s="496"/>
      <c r="BP156" s="496"/>
      <c r="BQ156" s="496"/>
      <c r="BR156" s="496"/>
      <c r="BS156" s="496"/>
      <c r="BT156" s="496"/>
      <c r="BU156" s="496"/>
      <c r="BV156" s="496"/>
      <c r="BW156" s="496"/>
      <c r="BX156" s="496"/>
      <c r="BY156" s="496"/>
      <c r="BZ156" s="496"/>
      <c r="CA156" s="496"/>
    </row>
    <row r="157" spans="7:79">
      <c r="G157" s="496"/>
      <c r="H157" s="496"/>
      <c r="I157" s="496"/>
      <c r="J157" s="496"/>
      <c r="K157" s="496"/>
      <c r="L157" s="496"/>
      <c r="M157" s="496"/>
      <c r="N157" s="496"/>
      <c r="O157" s="496"/>
      <c r="P157" s="496"/>
      <c r="Q157" s="496"/>
      <c r="R157" s="496"/>
      <c r="S157" s="496"/>
      <c r="T157" s="496"/>
      <c r="U157" s="496"/>
      <c r="V157" s="496"/>
      <c r="W157" s="496"/>
      <c r="X157" s="496"/>
      <c r="Y157" s="496"/>
      <c r="Z157" s="496"/>
      <c r="AA157" s="496"/>
      <c r="AB157" s="496"/>
      <c r="AC157" s="496"/>
      <c r="AD157" s="496"/>
      <c r="AE157" s="496"/>
      <c r="AF157" s="496"/>
      <c r="AG157" s="496"/>
      <c r="AH157" s="496"/>
      <c r="AI157" s="496"/>
      <c r="AJ157" s="496"/>
      <c r="AK157" s="496"/>
      <c r="AL157" s="496"/>
      <c r="AM157" s="496"/>
      <c r="AN157" s="496"/>
      <c r="AO157" s="496"/>
      <c r="AP157" s="496"/>
      <c r="AQ157" s="496"/>
      <c r="AR157" s="496"/>
      <c r="AS157" s="496"/>
      <c r="AT157" s="496"/>
      <c r="AU157" s="496"/>
      <c r="AV157" s="496"/>
      <c r="AW157" s="496"/>
      <c r="AX157" s="496"/>
      <c r="AY157" s="496"/>
      <c r="AZ157" s="496"/>
      <c r="BA157" s="496"/>
      <c r="BB157" s="496"/>
      <c r="BC157" s="496"/>
      <c r="BD157" s="496"/>
      <c r="BE157" s="496"/>
      <c r="BF157" s="496"/>
      <c r="BG157" s="496"/>
      <c r="BH157" s="496"/>
      <c r="BI157" s="496"/>
      <c r="BJ157" s="496"/>
      <c r="BK157" s="496"/>
      <c r="BL157" s="496"/>
      <c r="BM157" s="496"/>
      <c r="BN157" s="496"/>
      <c r="BO157" s="496"/>
      <c r="BP157" s="496"/>
      <c r="BQ157" s="496"/>
      <c r="BR157" s="496"/>
      <c r="BS157" s="496"/>
      <c r="BT157" s="496"/>
      <c r="BU157" s="496"/>
      <c r="BV157" s="496"/>
      <c r="BW157" s="496"/>
      <c r="BX157" s="496"/>
      <c r="BY157" s="496"/>
      <c r="BZ157" s="496"/>
      <c r="CA157" s="496"/>
    </row>
    <row r="158" spans="7:79">
      <c r="G158" s="496"/>
      <c r="H158" s="496"/>
      <c r="I158" s="496"/>
      <c r="J158" s="496"/>
      <c r="K158" s="496"/>
      <c r="L158" s="496"/>
      <c r="M158" s="496"/>
      <c r="N158" s="496"/>
      <c r="O158" s="496"/>
      <c r="P158" s="496"/>
      <c r="Q158" s="496"/>
      <c r="R158" s="496"/>
      <c r="S158" s="496"/>
      <c r="T158" s="496"/>
      <c r="U158" s="496"/>
      <c r="V158" s="496"/>
      <c r="W158" s="496"/>
      <c r="X158" s="496"/>
      <c r="Y158" s="496"/>
      <c r="Z158" s="496"/>
      <c r="AA158" s="496"/>
      <c r="AB158" s="496"/>
      <c r="AC158" s="496"/>
      <c r="AD158" s="496"/>
      <c r="AE158" s="496"/>
      <c r="AF158" s="496"/>
      <c r="AG158" s="496"/>
      <c r="AH158" s="496"/>
      <c r="AI158" s="496"/>
      <c r="AJ158" s="496"/>
      <c r="AK158" s="496"/>
      <c r="AL158" s="496"/>
      <c r="AM158" s="496"/>
      <c r="AN158" s="496"/>
      <c r="AO158" s="496"/>
      <c r="AP158" s="496"/>
      <c r="AQ158" s="496"/>
      <c r="AR158" s="496"/>
      <c r="AS158" s="496"/>
      <c r="AT158" s="496"/>
      <c r="AU158" s="496"/>
      <c r="AV158" s="496"/>
      <c r="AW158" s="496"/>
      <c r="AX158" s="496"/>
      <c r="AY158" s="496"/>
      <c r="AZ158" s="496"/>
      <c r="BA158" s="496"/>
      <c r="BB158" s="496"/>
      <c r="BC158" s="496"/>
      <c r="BD158" s="496"/>
      <c r="BE158" s="496"/>
      <c r="BF158" s="496"/>
      <c r="BG158" s="496"/>
      <c r="BH158" s="496"/>
      <c r="BI158" s="496"/>
      <c r="BJ158" s="496"/>
      <c r="BK158" s="496"/>
      <c r="BL158" s="496"/>
      <c r="BM158" s="496"/>
      <c r="BN158" s="496"/>
      <c r="BO158" s="496"/>
      <c r="BP158" s="496"/>
      <c r="BQ158" s="496"/>
      <c r="BR158" s="496"/>
      <c r="BS158" s="496"/>
      <c r="BT158" s="496"/>
      <c r="BU158" s="496"/>
      <c r="BV158" s="496"/>
      <c r="BW158" s="496"/>
      <c r="BX158" s="496"/>
      <c r="BY158" s="496"/>
      <c r="BZ158" s="496"/>
      <c r="CA158" s="496"/>
    </row>
    <row r="159" spans="7:79">
      <c r="G159" s="496"/>
      <c r="H159" s="496"/>
      <c r="I159" s="496"/>
      <c r="J159" s="496"/>
      <c r="K159" s="496"/>
      <c r="L159" s="496"/>
      <c r="M159" s="496"/>
      <c r="N159" s="496"/>
      <c r="O159" s="496"/>
      <c r="P159" s="496"/>
      <c r="Q159" s="496"/>
      <c r="R159" s="496"/>
      <c r="S159" s="496"/>
      <c r="T159" s="496"/>
      <c r="U159" s="496"/>
      <c r="V159" s="496"/>
      <c r="W159" s="496"/>
      <c r="X159" s="496"/>
      <c r="Y159" s="496"/>
      <c r="Z159" s="496"/>
      <c r="AA159" s="496"/>
      <c r="AB159" s="496"/>
      <c r="AC159" s="496"/>
      <c r="AD159" s="496"/>
      <c r="AE159" s="496"/>
      <c r="AF159" s="496"/>
      <c r="AG159" s="496"/>
      <c r="AH159" s="496"/>
      <c r="AI159" s="496"/>
      <c r="AJ159" s="496"/>
      <c r="AK159" s="496"/>
      <c r="AL159" s="496"/>
      <c r="AM159" s="496"/>
      <c r="AN159" s="496"/>
      <c r="AO159" s="496"/>
      <c r="AP159" s="496"/>
      <c r="AQ159" s="496"/>
      <c r="AR159" s="496"/>
      <c r="AS159" s="496"/>
      <c r="AT159" s="496"/>
      <c r="AU159" s="496"/>
      <c r="AV159" s="496"/>
      <c r="AW159" s="496"/>
      <c r="AX159" s="496"/>
      <c r="AY159" s="496"/>
      <c r="AZ159" s="496"/>
      <c r="BA159" s="496"/>
      <c r="BB159" s="496"/>
      <c r="BC159" s="496"/>
      <c r="BD159" s="496"/>
      <c r="BE159" s="496"/>
      <c r="BF159" s="496"/>
      <c r="BG159" s="496"/>
      <c r="BH159" s="496"/>
      <c r="BI159" s="496"/>
      <c r="BJ159" s="496"/>
      <c r="BK159" s="496"/>
      <c r="BL159" s="496"/>
      <c r="BM159" s="496"/>
      <c r="BN159" s="496"/>
      <c r="BO159" s="496"/>
      <c r="BP159" s="496"/>
      <c r="BQ159" s="496"/>
      <c r="BR159" s="496"/>
      <c r="BS159" s="496"/>
      <c r="BT159" s="496"/>
      <c r="BU159" s="496"/>
      <c r="BV159" s="496"/>
      <c r="BW159" s="496"/>
      <c r="BX159" s="496"/>
      <c r="BY159" s="496"/>
      <c r="BZ159" s="496"/>
      <c r="CA159" s="496"/>
    </row>
    <row r="160" spans="7:79">
      <c r="G160" s="496"/>
      <c r="H160" s="496"/>
      <c r="I160" s="496"/>
      <c r="J160" s="496"/>
      <c r="K160" s="496"/>
      <c r="L160" s="496"/>
      <c r="M160" s="496"/>
      <c r="N160" s="496"/>
      <c r="O160" s="496"/>
      <c r="P160" s="496"/>
      <c r="Q160" s="496"/>
      <c r="R160" s="496"/>
      <c r="S160" s="496"/>
      <c r="T160" s="496"/>
      <c r="U160" s="496"/>
      <c r="V160" s="496"/>
      <c r="W160" s="496"/>
      <c r="X160" s="496"/>
      <c r="Y160" s="496"/>
      <c r="Z160" s="496"/>
      <c r="AA160" s="496"/>
      <c r="AB160" s="496"/>
      <c r="AC160" s="496"/>
      <c r="AD160" s="496"/>
      <c r="AE160" s="496"/>
      <c r="AF160" s="496"/>
      <c r="AG160" s="496"/>
      <c r="AH160" s="496"/>
      <c r="AI160" s="496"/>
      <c r="AJ160" s="496"/>
      <c r="AK160" s="496"/>
      <c r="AL160" s="496"/>
      <c r="AM160" s="496"/>
      <c r="AN160" s="496"/>
      <c r="AO160" s="496"/>
      <c r="AP160" s="496"/>
      <c r="AQ160" s="496"/>
      <c r="AR160" s="496"/>
      <c r="AS160" s="496"/>
      <c r="AT160" s="496"/>
      <c r="AU160" s="496"/>
      <c r="AV160" s="496"/>
      <c r="AW160" s="496"/>
      <c r="AX160" s="496"/>
      <c r="AY160" s="496"/>
      <c r="AZ160" s="496"/>
      <c r="BA160" s="496"/>
      <c r="BB160" s="496"/>
      <c r="BC160" s="496"/>
      <c r="BD160" s="496"/>
      <c r="BE160" s="496"/>
      <c r="BF160" s="496"/>
      <c r="BG160" s="496"/>
      <c r="BH160" s="496"/>
      <c r="BI160" s="496"/>
      <c r="BJ160" s="496"/>
      <c r="BK160" s="496"/>
      <c r="BL160" s="496"/>
      <c r="BM160" s="496"/>
      <c r="BN160" s="496"/>
      <c r="BO160" s="496"/>
      <c r="BP160" s="496"/>
      <c r="BQ160" s="496"/>
      <c r="BR160" s="496"/>
      <c r="BS160" s="496"/>
      <c r="BT160" s="496"/>
      <c r="BU160" s="496"/>
      <c r="BV160" s="496"/>
      <c r="BW160" s="496"/>
      <c r="BX160" s="496"/>
      <c r="BY160" s="496"/>
      <c r="BZ160" s="496"/>
      <c r="CA160" s="496"/>
    </row>
    <row r="161" spans="7:79">
      <c r="G161" s="496"/>
      <c r="H161" s="496"/>
      <c r="I161" s="496"/>
      <c r="J161" s="496"/>
      <c r="K161" s="496"/>
      <c r="L161" s="496"/>
      <c r="M161" s="496"/>
      <c r="N161" s="496"/>
      <c r="O161" s="496"/>
      <c r="P161" s="496"/>
      <c r="Q161" s="496"/>
      <c r="R161" s="496"/>
      <c r="S161" s="496"/>
      <c r="T161" s="496"/>
      <c r="U161" s="496"/>
      <c r="V161" s="496"/>
      <c r="W161" s="496"/>
      <c r="X161" s="496"/>
      <c r="Y161" s="496"/>
      <c r="Z161" s="496"/>
      <c r="AA161" s="496"/>
      <c r="AB161" s="496"/>
      <c r="AC161" s="496"/>
      <c r="AD161" s="496"/>
      <c r="AE161" s="496"/>
      <c r="AF161" s="496"/>
      <c r="AG161" s="496"/>
      <c r="AH161" s="496"/>
      <c r="AI161" s="496"/>
      <c r="AJ161" s="496"/>
      <c r="AK161" s="496"/>
      <c r="AL161" s="496"/>
      <c r="AM161" s="496"/>
      <c r="AN161" s="496"/>
      <c r="AO161" s="496"/>
      <c r="AP161" s="496"/>
      <c r="AQ161" s="496"/>
      <c r="AR161" s="496"/>
      <c r="AS161" s="496"/>
      <c r="AT161" s="496"/>
      <c r="AU161" s="496"/>
      <c r="AV161" s="496"/>
      <c r="AW161" s="496"/>
      <c r="AX161" s="496"/>
      <c r="AY161" s="496"/>
      <c r="AZ161" s="496"/>
      <c r="BA161" s="496"/>
      <c r="BB161" s="496"/>
      <c r="BC161" s="496"/>
      <c r="BD161" s="496"/>
      <c r="BE161" s="496"/>
      <c r="BF161" s="496"/>
      <c r="BG161" s="496"/>
      <c r="BH161" s="496"/>
      <c r="BI161" s="496"/>
      <c r="BJ161" s="496"/>
      <c r="BK161" s="496"/>
      <c r="BL161" s="496"/>
      <c r="BM161" s="496"/>
      <c r="BN161" s="496"/>
      <c r="BO161" s="496"/>
      <c r="BP161" s="496"/>
      <c r="BQ161" s="496"/>
      <c r="BR161" s="496"/>
      <c r="BS161" s="496"/>
      <c r="BT161" s="496"/>
      <c r="BU161" s="496"/>
      <c r="BV161" s="496"/>
      <c r="BW161" s="496"/>
      <c r="BX161" s="496"/>
      <c r="BY161" s="496"/>
      <c r="BZ161" s="496"/>
      <c r="CA161" s="496"/>
    </row>
    <row r="162" spans="7:79">
      <c r="G162" s="496"/>
      <c r="H162" s="496"/>
      <c r="I162" s="496"/>
      <c r="J162" s="496"/>
      <c r="K162" s="496"/>
      <c r="L162" s="496"/>
      <c r="M162" s="496"/>
      <c r="N162" s="496"/>
      <c r="O162" s="496"/>
      <c r="P162" s="496"/>
      <c r="Q162" s="496"/>
      <c r="R162" s="496"/>
      <c r="S162" s="496"/>
      <c r="T162" s="496"/>
      <c r="U162" s="496"/>
      <c r="V162" s="496"/>
      <c r="W162" s="496"/>
      <c r="X162" s="496"/>
      <c r="Y162" s="496"/>
      <c r="Z162" s="496"/>
      <c r="AA162" s="496"/>
      <c r="AB162" s="496"/>
      <c r="AC162" s="496"/>
      <c r="AD162" s="496"/>
      <c r="AE162" s="496"/>
      <c r="AF162" s="496"/>
      <c r="AG162" s="496"/>
      <c r="AH162" s="496"/>
      <c r="AI162" s="496"/>
      <c r="AJ162" s="496"/>
      <c r="AK162" s="496"/>
      <c r="AL162" s="496"/>
      <c r="AM162" s="496"/>
      <c r="AN162" s="496"/>
      <c r="AO162" s="496"/>
      <c r="AP162" s="496"/>
      <c r="AQ162" s="496"/>
      <c r="AR162" s="496"/>
      <c r="AS162" s="496"/>
      <c r="AT162" s="496"/>
      <c r="AU162" s="496"/>
      <c r="AV162" s="496"/>
      <c r="AW162" s="496"/>
      <c r="AX162" s="496"/>
      <c r="AY162" s="496"/>
      <c r="AZ162" s="496"/>
      <c r="BA162" s="496"/>
      <c r="BB162" s="496"/>
      <c r="BC162" s="496"/>
      <c r="BD162" s="496"/>
      <c r="BE162" s="496"/>
      <c r="BF162" s="496"/>
      <c r="BG162" s="496"/>
      <c r="BH162" s="496"/>
      <c r="BI162" s="496"/>
      <c r="BJ162" s="496"/>
      <c r="BK162" s="496"/>
      <c r="BL162" s="496"/>
      <c r="BM162" s="496"/>
      <c r="BN162" s="496"/>
      <c r="BO162" s="496"/>
      <c r="BP162" s="496"/>
      <c r="BQ162" s="496"/>
      <c r="BR162" s="496"/>
      <c r="BS162" s="496"/>
      <c r="BT162" s="496"/>
      <c r="BU162" s="496"/>
      <c r="BV162" s="496"/>
      <c r="BW162" s="496"/>
      <c r="BX162" s="496"/>
      <c r="BY162" s="496"/>
      <c r="BZ162" s="496"/>
      <c r="CA162" s="496"/>
    </row>
    <row r="163" spans="7:79">
      <c r="G163" s="496"/>
      <c r="H163" s="496"/>
      <c r="I163" s="496"/>
      <c r="J163" s="496"/>
      <c r="K163" s="496"/>
      <c r="L163" s="496"/>
      <c r="M163" s="496"/>
      <c r="N163" s="496"/>
      <c r="O163" s="496"/>
      <c r="P163" s="496"/>
      <c r="Q163" s="496"/>
      <c r="R163" s="496"/>
      <c r="S163" s="496"/>
      <c r="T163" s="496"/>
      <c r="U163" s="496"/>
      <c r="V163" s="496"/>
      <c r="W163" s="496"/>
      <c r="X163" s="496"/>
      <c r="Y163" s="496"/>
      <c r="Z163" s="496"/>
      <c r="AA163" s="496"/>
      <c r="AB163" s="496"/>
      <c r="AC163" s="496"/>
      <c r="AD163" s="496"/>
      <c r="AE163" s="496"/>
      <c r="AF163" s="496"/>
      <c r="AG163" s="496"/>
      <c r="AH163" s="496"/>
      <c r="AI163" s="496"/>
      <c r="AJ163" s="496"/>
      <c r="AK163" s="496"/>
      <c r="AL163" s="496"/>
      <c r="AM163" s="496"/>
      <c r="AN163" s="496"/>
      <c r="AO163" s="496"/>
      <c r="AP163" s="496"/>
      <c r="AQ163" s="496"/>
      <c r="AR163" s="496"/>
      <c r="AS163" s="496"/>
      <c r="AT163" s="496"/>
      <c r="AU163" s="496"/>
      <c r="AV163" s="496"/>
      <c r="AW163" s="496"/>
      <c r="AX163" s="496"/>
      <c r="AY163" s="496"/>
      <c r="AZ163" s="496"/>
      <c r="BA163" s="496"/>
      <c r="BB163" s="496"/>
      <c r="BC163" s="496"/>
      <c r="BD163" s="496"/>
      <c r="BE163" s="496"/>
      <c r="BF163" s="496"/>
      <c r="BG163" s="496"/>
      <c r="BH163" s="496"/>
      <c r="BI163" s="496"/>
      <c r="BJ163" s="496"/>
      <c r="BK163" s="496"/>
      <c r="BL163" s="496"/>
      <c r="BM163" s="496"/>
      <c r="BN163" s="496"/>
      <c r="BO163" s="496"/>
      <c r="BP163" s="496"/>
      <c r="BQ163" s="496"/>
      <c r="BR163" s="496"/>
      <c r="BS163" s="496"/>
      <c r="BT163" s="496"/>
      <c r="BU163" s="496"/>
      <c r="BV163" s="496"/>
      <c r="BW163" s="496"/>
      <c r="BX163" s="496"/>
      <c r="BY163" s="496"/>
      <c r="BZ163" s="496"/>
      <c r="CA163" s="496"/>
    </row>
    <row r="164" spans="7:79">
      <c r="G164" s="496"/>
      <c r="H164" s="496"/>
      <c r="I164" s="496"/>
      <c r="J164" s="496"/>
      <c r="K164" s="496"/>
      <c r="L164" s="496"/>
      <c r="M164" s="496"/>
      <c r="N164" s="496"/>
      <c r="O164" s="496"/>
      <c r="P164" s="496"/>
      <c r="Q164" s="496"/>
      <c r="R164" s="496"/>
      <c r="S164" s="496"/>
      <c r="T164" s="496"/>
      <c r="U164" s="496"/>
      <c r="V164" s="496"/>
      <c r="W164" s="496"/>
      <c r="X164" s="496"/>
      <c r="Y164" s="496"/>
      <c r="Z164" s="496"/>
      <c r="AA164" s="496"/>
      <c r="AB164" s="496"/>
      <c r="AC164" s="496"/>
      <c r="AD164" s="496"/>
      <c r="AE164" s="496"/>
      <c r="AF164" s="496"/>
      <c r="AG164" s="496"/>
      <c r="AH164" s="496"/>
      <c r="AI164" s="496"/>
      <c r="AJ164" s="496"/>
      <c r="AK164" s="496"/>
      <c r="AL164" s="496"/>
      <c r="AM164" s="496"/>
      <c r="AN164" s="496"/>
      <c r="AO164" s="496"/>
      <c r="AP164" s="496"/>
      <c r="AQ164" s="496"/>
      <c r="AR164" s="496"/>
      <c r="AS164" s="496"/>
      <c r="AT164" s="496"/>
      <c r="AU164" s="496"/>
      <c r="AV164" s="496"/>
      <c r="AW164" s="496"/>
      <c r="AX164" s="496"/>
      <c r="AY164" s="496"/>
      <c r="AZ164" s="496"/>
      <c r="BA164" s="496"/>
      <c r="BB164" s="496"/>
      <c r="BC164" s="496"/>
      <c r="BD164" s="496"/>
      <c r="BE164" s="496"/>
      <c r="BF164" s="496"/>
      <c r="BG164" s="496"/>
      <c r="BH164" s="496"/>
      <c r="BI164" s="496"/>
      <c r="BJ164" s="496"/>
      <c r="BK164" s="496"/>
      <c r="BL164" s="496"/>
      <c r="BM164" s="496"/>
      <c r="BN164" s="496"/>
      <c r="BO164" s="496"/>
      <c r="BP164" s="496"/>
      <c r="BQ164" s="496"/>
      <c r="BR164" s="496"/>
      <c r="BS164" s="496"/>
      <c r="BT164" s="496"/>
      <c r="BU164" s="496"/>
      <c r="BV164" s="496"/>
      <c r="BW164" s="496"/>
      <c r="BX164" s="496"/>
      <c r="BY164" s="496"/>
      <c r="BZ164" s="496"/>
      <c r="CA164" s="496"/>
    </row>
    <row r="165" spans="7:79">
      <c r="G165" s="496"/>
      <c r="H165" s="496"/>
      <c r="I165" s="496"/>
      <c r="J165" s="496"/>
      <c r="K165" s="496"/>
      <c r="L165" s="496"/>
      <c r="M165" s="496"/>
      <c r="N165" s="496"/>
      <c r="O165" s="496"/>
      <c r="P165" s="496"/>
      <c r="Q165" s="496"/>
      <c r="R165" s="496"/>
      <c r="S165" s="496"/>
      <c r="T165" s="496"/>
      <c r="U165" s="496"/>
      <c r="V165" s="496"/>
      <c r="W165" s="496"/>
      <c r="X165" s="496"/>
      <c r="Y165" s="496"/>
      <c r="Z165" s="496"/>
      <c r="AA165" s="496"/>
      <c r="AB165" s="496"/>
      <c r="AC165" s="496"/>
      <c r="AD165" s="496"/>
      <c r="AE165" s="496"/>
      <c r="AF165" s="496"/>
      <c r="AG165" s="496"/>
      <c r="AH165" s="496"/>
      <c r="AI165" s="496"/>
      <c r="AJ165" s="496"/>
      <c r="AK165" s="496"/>
      <c r="AL165" s="496"/>
      <c r="AM165" s="496"/>
      <c r="AN165" s="496"/>
      <c r="AO165" s="496"/>
      <c r="AP165" s="496"/>
      <c r="AQ165" s="496"/>
      <c r="AR165" s="496"/>
      <c r="AS165" s="496"/>
      <c r="AT165" s="496"/>
      <c r="AU165" s="496"/>
      <c r="AV165" s="496"/>
      <c r="AW165" s="496"/>
      <c r="AX165" s="496"/>
      <c r="AY165" s="496"/>
      <c r="AZ165" s="496"/>
      <c r="BA165" s="496"/>
      <c r="BB165" s="496"/>
      <c r="BC165" s="496"/>
      <c r="BD165" s="496"/>
      <c r="BE165" s="496"/>
      <c r="BF165" s="496"/>
      <c r="BG165" s="496"/>
      <c r="BH165" s="496"/>
      <c r="BI165" s="496"/>
      <c r="BJ165" s="496"/>
      <c r="BK165" s="496"/>
      <c r="BL165" s="496"/>
      <c r="BM165" s="496"/>
      <c r="BN165" s="496"/>
      <c r="BO165" s="496"/>
      <c r="BP165" s="496"/>
      <c r="BQ165" s="496"/>
      <c r="BR165" s="496"/>
      <c r="BS165" s="496"/>
      <c r="BT165" s="496"/>
      <c r="BU165" s="496"/>
      <c r="BV165" s="496"/>
      <c r="BW165" s="496"/>
      <c r="BX165" s="496"/>
      <c r="BY165" s="496"/>
      <c r="BZ165" s="496"/>
      <c r="CA165" s="496"/>
    </row>
    <row r="166" spans="7:79">
      <c r="G166" s="496"/>
      <c r="H166" s="496"/>
      <c r="I166" s="496"/>
      <c r="J166" s="496"/>
      <c r="K166" s="496"/>
      <c r="L166" s="496"/>
      <c r="M166" s="496"/>
      <c r="N166" s="496"/>
      <c r="O166" s="496"/>
      <c r="P166" s="496"/>
      <c r="Q166" s="496"/>
      <c r="R166" s="496"/>
      <c r="S166" s="496"/>
      <c r="T166" s="496"/>
      <c r="U166" s="496"/>
      <c r="V166" s="496"/>
      <c r="W166" s="496"/>
      <c r="X166" s="496"/>
      <c r="Y166" s="496"/>
      <c r="Z166" s="496"/>
      <c r="AA166" s="496"/>
      <c r="AB166" s="496"/>
      <c r="AC166" s="496"/>
      <c r="AD166" s="496"/>
      <c r="AE166" s="496"/>
      <c r="AF166" s="496"/>
      <c r="AG166" s="496"/>
      <c r="AH166" s="496"/>
      <c r="AI166" s="496"/>
      <c r="AJ166" s="496"/>
      <c r="AK166" s="496"/>
      <c r="AL166" s="496"/>
      <c r="AM166" s="496"/>
      <c r="AN166" s="496"/>
      <c r="AO166" s="496"/>
      <c r="AP166" s="496"/>
      <c r="AQ166" s="496"/>
      <c r="AR166" s="496"/>
      <c r="AS166" s="496"/>
      <c r="AT166" s="496"/>
      <c r="AU166" s="496"/>
      <c r="AV166" s="496"/>
      <c r="AW166" s="496"/>
      <c r="AX166" s="496"/>
      <c r="AY166" s="496"/>
      <c r="AZ166" s="496"/>
      <c r="BA166" s="496"/>
      <c r="BB166" s="496"/>
      <c r="BC166" s="496"/>
      <c r="BD166" s="496"/>
      <c r="BE166" s="496"/>
      <c r="BF166" s="496"/>
      <c r="BG166" s="496"/>
      <c r="BH166" s="496"/>
      <c r="BI166" s="496"/>
      <c r="BJ166" s="496"/>
      <c r="BK166" s="496"/>
      <c r="BL166" s="496"/>
      <c r="BM166" s="496"/>
      <c r="BN166" s="496"/>
      <c r="BO166" s="496"/>
      <c r="BP166" s="496"/>
      <c r="BQ166" s="496"/>
      <c r="BR166" s="496"/>
      <c r="BS166" s="496"/>
      <c r="BT166" s="496"/>
      <c r="BU166" s="496"/>
      <c r="BV166" s="496"/>
      <c r="BW166" s="496"/>
      <c r="BX166" s="496"/>
      <c r="BY166" s="496"/>
      <c r="BZ166" s="496"/>
      <c r="CA166" s="496"/>
    </row>
    <row r="167" spans="7:79">
      <c r="G167" s="496"/>
      <c r="H167" s="496"/>
      <c r="I167" s="496"/>
      <c r="J167" s="496"/>
      <c r="K167" s="496"/>
      <c r="L167" s="496"/>
      <c r="M167" s="496"/>
      <c r="N167" s="496"/>
      <c r="O167" s="496"/>
      <c r="P167" s="496"/>
      <c r="Q167" s="496"/>
      <c r="R167" s="496"/>
      <c r="S167" s="496"/>
      <c r="T167" s="496"/>
      <c r="U167" s="496"/>
      <c r="V167" s="496"/>
      <c r="W167" s="496"/>
      <c r="X167" s="496"/>
      <c r="Y167" s="496"/>
      <c r="Z167" s="496"/>
      <c r="AA167" s="496"/>
      <c r="AB167" s="496"/>
      <c r="AC167" s="496"/>
      <c r="AD167" s="496"/>
      <c r="AE167" s="496"/>
      <c r="AF167" s="496"/>
      <c r="AG167" s="496"/>
      <c r="AH167" s="496"/>
      <c r="AI167" s="496"/>
      <c r="AJ167" s="496"/>
      <c r="AK167" s="496"/>
      <c r="AL167" s="496"/>
      <c r="AM167" s="496"/>
      <c r="AN167" s="496"/>
      <c r="AO167" s="496"/>
      <c r="AP167" s="496"/>
      <c r="AQ167" s="496"/>
      <c r="AR167" s="496"/>
      <c r="AS167" s="496"/>
      <c r="AT167" s="496"/>
      <c r="AU167" s="496"/>
      <c r="AV167" s="496"/>
      <c r="AW167" s="496"/>
      <c r="AX167" s="496"/>
      <c r="AY167" s="496"/>
      <c r="AZ167" s="496"/>
      <c r="BA167" s="496"/>
      <c r="BB167" s="496"/>
      <c r="BC167" s="496"/>
      <c r="BD167" s="496"/>
      <c r="BE167" s="496"/>
      <c r="BF167" s="496"/>
      <c r="BG167" s="496"/>
      <c r="BH167" s="496"/>
      <c r="BI167" s="496"/>
      <c r="BJ167" s="496"/>
      <c r="BK167" s="496"/>
      <c r="BL167" s="496"/>
      <c r="BM167" s="496"/>
      <c r="BN167" s="496"/>
      <c r="BO167" s="496"/>
      <c r="BP167" s="496"/>
      <c r="BQ167" s="496"/>
      <c r="BR167" s="496"/>
      <c r="BS167" s="496"/>
      <c r="BT167" s="496"/>
      <c r="BU167" s="496"/>
      <c r="BV167" s="496"/>
      <c r="BW167" s="496"/>
      <c r="BX167" s="496"/>
      <c r="BY167" s="496"/>
      <c r="BZ167" s="496"/>
      <c r="CA167" s="496"/>
    </row>
    <row r="168" spans="7:79">
      <c r="G168" s="496"/>
      <c r="H168" s="496"/>
      <c r="I168" s="496"/>
      <c r="J168" s="496"/>
      <c r="K168" s="496"/>
      <c r="L168" s="496"/>
      <c r="M168" s="496"/>
      <c r="N168" s="496"/>
      <c r="O168" s="496"/>
      <c r="P168" s="496"/>
      <c r="Q168" s="496"/>
      <c r="R168" s="496"/>
      <c r="S168" s="496"/>
      <c r="T168" s="496"/>
      <c r="U168" s="496"/>
      <c r="V168" s="496"/>
      <c r="W168" s="496"/>
      <c r="X168" s="496"/>
      <c r="Y168" s="496"/>
      <c r="Z168" s="496"/>
      <c r="AA168" s="496"/>
      <c r="AB168" s="496"/>
      <c r="AC168" s="496"/>
      <c r="AD168" s="496"/>
      <c r="AE168" s="496"/>
      <c r="AF168" s="496"/>
      <c r="AG168" s="496"/>
      <c r="AH168" s="496"/>
      <c r="AI168" s="496"/>
      <c r="AJ168" s="496"/>
      <c r="AK168" s="496"/>
      <c r="AL168" s="496"/>
      <c r="AM168" s="496"/>
      <c r="AN168" s="496"/>
      <c r="AO168" s="496"/>
      <c r="AP168" s="496"/>
      <c r="AQ168" s="496"/>
      <c r="AR168" s="496"/>
      <c r="AS168" s="496"/>
      <c r="AT168" s="496"/>
      <c r="AU168" s="496"/>
      <c r="AV168" s="496"/>
      <c r="AW168" s="496"/>
      <c r="AX168" s="496"/>
      <c r="AY168" s="496"/>
      <c r="AZ168" s="496"/>
      <c r="BA168" s="496"/>
      <c r="BB168" s="496"/>
      <c r="BC168" s="496"/>
      <c r="BD168" s="496"/>
      <c r="BE168" s="496"/>
      <c r="BF168" s="496"/>
      <c r="BG168" s="496"/>
      <c r="BH168" s="496"/>
      <c r="BI168" s="496"/>
      <c r="BJ168" s="496"/>
      <c r="BK168" s="496"/>
      <c r="BL168" s="496"/>
      <c r="BM168" s="496"/>
      <c r="BN168" s="496"/>
      <c r="BO168" s="496"/>
      <c r="BP168" s="496"/>
      <c r="BQ168" s="496"/>
      <c r="BR168" s="496"/>
      <c r="BS168" s="496"/>
      <c r="BT168" s="496"/>
      <c r="BU168" s="496"/>
      <c r="BV168" s="496"/>
      <c r="BW168" s="496"/>
      <c r="BX168" s="496"/>
      <c r="BY168" s="496"/>
      <c r="BZ168" s="496"/>
      <c r="CA168" s="496"/>
    </row>
    <row r="169" spans="7:79">
      <c r="G169" s="496"/>
      <c r="H169" s="496"/>
      <c r="I169" s="496"/>
      <c r="J169" s="496"/>
      <c r="K169" s="496"/>
      <c r="L169" s="496"/>
      <c r="M169" s="496"/>
      <c r="N169" s="496"/>
      <c r="O169" s="496"/>
      <c r="P169" s="496"/>
      <c r="Q169" s="496"/>
      <c r="R169" s="496"/>
      <c r="S169" s="496"/>
      <c r="T169" s="496"/>
      <c r="U169" s="496"/>
      <c r="V169" s="496"/>
      <c r="W169" s="496"/>
      <c r="X169" s="496"/>
      <c r="Y169" s="496"/>
      <c r="Z169" s="496"/>
      <c r="AA169" s="496"/>
      <c r="AB169" s="496"/>
      <c r="AC169" s="496"/>
      <c r="AD169" s="496"/>
      <c r="AE169" s="496"/>
      <c r="AF169" s="496"/>
      <c r="AG169" s="496"/>
      <c r="AH169" s="496"/>
      <c r="AI169" s="496"/>
      <c r="AJ169" s="496"/>
      <c r="AK169" s="496"/>
      <c r="AL169" s="496"/>
      <c r="AM169" s="496"/>
      <c r="AN169" s="496"/>
      <c r="AO169" s="496"/>
      <c r="AP169" s="496"/>
      <c r="AQ169" s="496"/>
      <c r="AR169" s="496"/>
      <c r="AS169" s="496"/>
      <c r="AT169" s="496"/>
      <c r="AU169" s="496"/>
      <c r="AV169" s="496"/>
      <c r="AW169" s="496"/>
      <c r="AX169" s="496"/>
      <c r="AY169" s="496"/>
      <c r="AZ169" s="496"/>
      <c r="BA169" s="496"/>
      <c r="BB169" s="496"/>
      <c r="BC169" s="496"/>
      <c r="BD169" s="496"/>
      <c r="BE169" s="496"/>
      <c r="BF169" s="496"/>
      <c r="BG169" s="496"/>
      <c r="BH169" s="496"/>
      <c r="BI169" s="496"/>
      <c r="BJ169" s="496"/>
      <c r="BK169" s="496"/>
      <c r="BL169" s="496"/>
      <c r="BM169" s="496"/>
      <c r="BN169" s="496"/>
      <c r="BO169" s="496"/>
      <c r="BP169" s="496"/>
      <c r="BQ169" s="496"/>
      <c r="BR169" s="496"/>
      <c r="BS169" s="496"/>
      <c r="BT169" s="496"/>
      <c r="BU169" s="496"/>
      <c r="BV169" s="496"/>
      <c r="BW169" s="496"/>
      <c r="BX169" s="496"/>
      <c r="BY169" s="496"/>
      <c r="BZ169" s="496"/>
      <c r="CA169" s="496"/>
    </row>
    <row r="170" spans="7:79">
      <c r="G170" s="496"/>
      <c r="H170" s="496"/>
      <c r="I170" s="496"/>
      <c r="J170" s="496"/>
      <c r="K170" s="496"/>
      <c r="L170" s="496"/>
      <c r="M170" s="496"/>
      <c r="N170" s="496"/>
      <c r="O170" s="496"/>
      <c r="P170" s="496"/>
      <c r="Q170" s="496"/>
      <c r="R170" s="496"/>
      <c r="S170" s="496"/>
      <c r="T170" s="496"/>
      <c r="U170" s="496"/>
      <c r="V170" s="496"/>
      <c r="W170" s="496"/>
      <c r="X170" s="496"/>
      <c r="Y170" s="496"/>
      <c r="Z170" s="496"/>
      <c r="AA170" s="496"/>
      <c r="AB170" s="496"/>
      <c r="AC170" s="496"/>
      <c r="AD170" s="496"/>
      <c r="AE170" s="496"/>
      <c r="AF170" s="496"/>
      <c r="AG170" s="496"/>
      <c r="AH170" s="496"/>
      <c r="AI170" s="496"/>
      <c r="AJ170" s="496"/>
      <c r="AK170" s="496"/>
      <c r="AL170" s="496"/>
      <c r="AM170" s="496"/>
      <c r="AN170" s="496"/>
      <c r="AO170" s="496"/>
      <c r="AP170" s="496"/>
      <c r="AQ170" s="496"/>
      <c r="AR170" s="496"/>
      <c r="AS170" s="496"/>
      <c r="AT170" s="496"/>
      <c r="AU170" s="496"/>
      <c r="AV170" s="496"/>
      <c r="AW170" s="496"/>
      <c r="AX170" s="496"/>
      <c r="AY170" s="496"/>
      <c r="AZ170" s="496"/>
      <c r="BA170" s="496"/>
      <c r="BB170" s="496"/>
      <c r="BC170" s="496"/>
      <c r="BD170" s="496"/>
      <c r="BE170" s="496"/>
      <c r="BF170" s="496"/>
      <c r="BG170" s="496"/>
      <c r="BH170" s="496"/>
      <c r="BI170" s="496"/>
      <c r="BJ170" s="496"/>
      <c r="BK170" s="496"/>
      <c r="BL170" s="496"/>
      <c r="BM170" s="496"/>
      <c r="BN170" s="496"/>
      <c r="BO170" s="496"/>
      <c r="BP170" s="496"/>
      <c r="BQ170" s="496"/>
      <c r="BR170" s="496"/>
      <c r="BS170" s="496"/>
      <c r="BT170" s="496"/>
      <c r="BU170" s="496"/>
      <c r="BV170" s="496"/>
      <c r="BW170" s="496"/>
      <c r="BX170" s="496"/>
      <c r="BY170" s="496"/>
      <c r="BZ170" s="496"/>
      <c r="CA170" s="496"/>
    </row>
    <row r="171" spans="7:79">
      <c r="G171" s="496"/>
      <c r="H171" s="496"/>
      <c r="I171" s="496"/>
      <c r="J171" s="496"/>
      <c r="K171" s="496"/>
      <c r="L171" s="496"/>
      <c r="M171" s="496"/>
      <c r="N171" s="496"/>
      <c r="O171" s="496"/>
      <c r="P171" s="496"/>
      <c r="Q171" s="496"/>
      <c r="R171" s="496"/>
      <c r="S171" s="496"/>
      <c r="T171" s="496"/>
      <c r="U171" s="496"/>
      <c r="V171" s="496"/>
      <c r="W171" s="496"/>
      <c r="X171" s="496"/>
      <c r="Y171" s="496"/>
      <c r="Z171" s="496"/>
      <c r="AA171" s="496"/>
      <c r="AB171" s="496"/>
      <c r="AC171" s="496"/>
      <c r="AD171" s="496"/>
      <c r="AE171" s="496"/>
      <c r="AF171" s="496"/>
      <c r="AG171" s="496"/>
      <c r="AH171" s="496"/>
      <c r="AI171" s="496"/>
      <c r="AJ171" s="496"/>
      <c r="AK171" s="496"/>
      <c r="AL171" s="496"/>
      <c r="AM171" s="496"/>
      <c r="AN171" s="496"/>
      <c r="AO171" s="496"/>
      <c r="AP171" s="496"/>
      <c r="AQ171" s="496"/>
      <c r="AR171" s="496"/>
      <c r="AS171" s="496"/>
      <c r="AT171" s="496"/>
      <c r="AU171" s="496"/>
      <c r="AV171" s="496"/>
      <c r="AW171" s="496"/>
      <c r="AX171" s="496"/>
      <c r="AY171" s="496"/>
      <c r="AZ171" s="496"/>
      <c r="BA171" s="496"/>
      <c r="BB171" s="496"/>
      <c r="BC171" s="496"/>
      <c r="BD171" s="496"/>
      <c r="BE171" s="496"/>
      <c r="BF171" s="496"/>
      <c r="BG171" s="496"/>
      <c r="BH171" s="496"/>
      <c r="BI171" s="496"/>
      <c r="BJ171" s="496"/>
      <c r="BK171" s="496"/>
      <c r="BL171" s="496"/>
      <c r="BM171" s="496"/>
      <c r="BN171" s="496"/>
      <c r="BO171" s="496"/>
      <c r="BP171" s="496"/>
      <c r="BQ171" s="496"/>
      <c r="BR171" s="496"/>
      <c r="BS171" s="496"/>
      <c r="BT171" s="496"/>
      <c r="BU171" s="496"/>
      <c r="BV171" s="496"/>
      <c r="BW171" s="496"/>
      <c r="BX171" s="496"/>
      <c r="BY171" s="496"/>
      <c r="BZ171" s="496"/>
      <c r="CA171" s="496"/>
    </row>
    <row r="172" spans="7:79">
      <c r="G172" s="496"/>
      <c r="H172" s="496"/>
      <c r="I172" s="496"/>
      <c r="J172" s="496"/>
      <c r="K172" s="496"/>
      <c r="L172" s="496"/>
      <c r="M172" s="496"/>
      <c r="N172" s="496"/>
      <c r="O172" s="496"/>
      <c r="P172" s="496"/>
      <c r="Q172" s="496"/>
      <c r="R172" s="496"/>
      <c r="S172" s="496"/>
      <c r="T172" s="496"/>
      <c r="U172" s="496"/>
      <c r="V172" s="496"/>
      <c r="W172" s="496"/>
      <c r="X172" s="496"/>
      <c r="Y172" s="496"/>
      <c r="Z172" s="496"/>
      <c r="AA172" s="496"/>
      <c r="AB172" s="496"/>
      <c r="AC172" s="496"/>
      <c r="AD172" s="496"/>
      <c r="AE172" s="496"/>
      <c r="AF172" s="496"/>
      <c r="AG172" s="496"/>
      <c r="AH172" s="496"/>
      <c r="AI172" s="496"/>
      <c r="AJ172" s="496"/>
      <c r="AK172" s="496"/>
      <c r="AL172" s="496"/>
      <c r="AM172" s="496"/>
      <c r="AN172" s="496"/>
      <c r="AO172" s="496"/>
      <c r="AP172" s="496"/>
      <c r="AQ172" s="496"/>
      <c r="AR172" s="496"/>
      <c r="AS172" s="496"/>
      <c r="AT172" s="496"/>
      <c r="AU172" s="496"/>
      <c r="AV172" s="496"/>
      <c r="AW172" s="496"/>
      <c r="AX172" s="496"/>
      <c r="AY172" s="496"/>
      <c r="AZ172" s="496"/>
      <c r="BA172" s="496"/>
      <c r="BB172" s="496"/>
      <c r="BC172" s="496"/>
      <c r="BD172" s="496"/>
      <c r="BE172" s="496"/>
      <c r="BF172" s="496"/>
      <c r="BG172" s="496"/>
      <c r="BH172" s="496"/>
      <c r="BI172" s="496"/>
      <c r="BJ172" s="496"/>
      <c r="BK172" s="496"/>
      <c r="BL172" s="496"/>
      <c r="BM172" s="496"/>
      <c r="BN172" s="496"/>
      <c r="BO172" s="496"/>
      <c r="BP172" s="496"/>
      <c r="BQ172" s="496"/>
      <c r="BR172" s="496"/>
      <c r="BS172" s="496"/>
      <c r="BT172" s="496"/>
      <c r="BU172" s="496"/>
      <c r="BV172" s="496"/>
      <c r="BW172" s="496"/>
      <c r="BX172" s="496"/>
      <c r="BY172" s="496"/>
      <c r="BZ172" s="496"/>
      <c r="CA172" s="496"/>
    </row>
    <row r="173" spans="7:79">
      <c r="G173" s="496"/>
      <c r="H173" s="496"/>
      <c r="I173" s="496"/>
      <c r="J173" s="496"/>
      <c r="K173" s="496"/>
      <c r="L173" s="496"/>
      <c r="M173" s="496"/>
      <c r="N173" s="496"/>
      <c r="O173" s="496"/>
      <c r="P173" s="496"/>
      <c r="Q173" s="496"/>
      <c r="R173" s="496"/>
      <c r="S173" s="496"/>
      <c r="T173" s="496"/>
      <c r="U173" s="496"/>
      <c r="V173" s="496"/>
      <c r="W173" s="496"/>
      <c r="X173" s="496"/>
      <c r="Y173" s="496"/>
      <c r="Z173" s="496"/>
      <c r="AA173" s="496"/>
      <c r="AB173" s="496"/>
      <c r="AC173" s="496"/>
      <c r="AD173" s="496"/>
      <c r="AE173" s="496"/>
      <c r="AF173" s="496"/>
      <c r="AG173" s="496"/>
      <c r="AH173" s="496"/>
      <c r="AI173" s="496"/>
      <c r="AJ173" s="496"/>
      <c r="AK173" s="496"/>
      <c r="AL173" s="496"/>
      <c r="AM173" s="496"/>
      <c r="AN173" s="496"/>
      <c r="AO173" s="496"/>
      <c r="AP173" s="496"/>
      <c r="AQ173" s="496"/>
      <c r="AR173" s="496"/>
      <c r="AS173" s="496"/>
      <c r="AT173" s="496"/>
      <c r="AU173" s="496"/>
      <c r="AV173" s="496"/>
      <c r="AW173" s="496"/>
      <c r="AX173" s="496"/>
      <c r="AY173" s="496"/>
      <c r="AZ173" s="496"/>
      <c r="BA173" s="496"/>
      <c r="BB173" s="496"/>
      <c r="BC173" s="496"/>
      <c r="BD173" s="496"/>
      <c r="BE173" s="496"/>
      <c r="BF173" s="496"/>
      <c r="BG173" s="496"/>
      <c r="BH173" s="496"/>
      <c r="BI173" s="496"/>
      <c r="BJ173" s="496"/>
      <c r="BK173" s="496"/>
      <c r="BL173" s="496"/>
      <c r="BM173" s="496"/>
      <c r="BN173" s="496"/>
      <c r="BO173" s="496"/>
      <c r="BP173" s="496"/>
      <c r="BQ173" s="496"/>
      <c r="BR173" s="496"/>
      <c r="BS173" s="496"/>
      <c r="BT173" s="496"/>
      <c r="BU173" s="496"/>
      <c r="BV173" s="496"/>
      <c r="BW173" s="496"/>
      <c r="BX173" s="496"/>
      <c r="BY173" s="496"/>
      <c r="BZ173" s="496"/>
      <c r="CA173" s="496"/>
    </row>
    <row r="174" spans="7:79">
      <c r="G174" s="496"/>
      <c r="H174" s="496"/>
      <c r="I174" s="496"/>
      <c r="J174" s="496"/>
      <c r="K174" s="496"/>
      <c r="L174" s="496"/>
      <c r="M174" s="496"/>
      <c r="N174" s="496"/>
      <c r="O174" s="496"/>
      <c r="P174" s="496"/>
      <c r="Q174" s="496"/>
      <c r="R174" s="496"/>
      <c r="S174" s="496"/>
      <c r="T174" s="496"/>
      <c r="U174" s="496"/>
      <c r="V174" s="496"/>
      <c r="W174" s="496"/>
      <c r="X174" s="496"/>
      <c r="Y174" s="496"/>
      <c r="Z174" s="496"/>
      <c r="AA174" s="496"/>
      <c r="AB174" s="496"/>
      <c r="AC174" s="496"/>
      <c r="AD174" s="496"/>
      <c r="AE174" s="496"/>
      <c r="AF174" s="496"/>
      <c r="AG174" s="496"/>
      <c r="AH174" s="496"/>
      <c r="AI174" s="496"/>
      <c r="AJ174" s="496"/>
      <c r="AK174" s="496"/>
      <c r="AL174" s="496"/>
      <c r="AM174" s="496"/>
      <c r="AN174" s="496"/>
      <c r="AO174" s="496"/>
      <c r="AP174" s="496"/>
      <c r="AQ174" s="496"/>
      <c r="AR174" s="496"/>
      <c r="AS174" s="496"/>
      <c r="AT174" s="496"/>
      <c r="AU174" s="496"/>
      <c r="AV174" s="496"/>
      <c r="AW174" s="496"/>
      <c r="AX174" s="496"/>
      <c r="AY174" s="496"/>
      <c r="AZ174" s="496"/>
      <c r="BA174" s="496"/>
      <c r="BB174" s="496"/>
      <c r="BC174" s="496"/>
      <c r="BD174" s="496"/>
      <c r="BE174" s="496"/>
      <c r="BF174" s="496"/>
      <c r="BG174" s="496"/>
      <c r="BH174" s="496"/>
      <c r="BI174" s="496"/>
      <c r="BJ174" s="496"/>
      <c r="BK174" s="496"/>
      <c r="BL174" s="496"/>
      <c r="BM174" s="496"/>
      <c r="BN174" s="496"/>
      <c r="BO174" s="496"/>
      <c r="BP174" s="496"/>
      <c r="BQ174" s="496"/>
      <c r="BR174" s="496"/>
      <c r="BS174" s="496"/>
      <c r="BT174" s="496"/>
      <c r="BU174" s="496"/>
      <c r="BV174" s="496"/>
      <c r="BW174" s="496"/>
      <c r="BX174" s="496"/>
      <c r="BY174" s="496"/>
      <c r="BZ174" s="496"/>
      <c r="CA174" s="496"/>
    </row>
    <row r="175" spans="7:79">
      <c r="G175" s="496"/>
      <c r="H175" s="496"/>
      <c r="I175" s="496"/>
      <c r="J175" s="496"/>
      <c r="K175" s="496"/>
      <c r="L175" s="496"/>
      <c r="M175" s="496"/>
      <c r="N175" s="496"/>
      <c r="O175" s="496"/>
      <c r="P175" s="496"/>
      <c r="Q175" s="496"/>
      <c r="R175" s="496"/>
      <c r="S175" s="496"/>
      <c r="T175" s="496"/>
      <c r="U175" s="496"/>
      <c r="V175" s="496"/>
      <c r="W175" s="496"/>
      <c r="X175" s="496"/>
      <c r="Y175" s="496"/>
      <c r="Z175" s="496"/>
      <c r="AA175" s="496"/>
      <c r="AB175" s="496"/>
      <c r="AC175" s="496"/>
      <c r="AD175" s="496"/>
      <c r="AE175" s="496"/>
      <c r="AF175" s="496"/>
      <c r="AG175" s="496"/>
      <c r="AH175" s="496"/>
      <c r="AI175" s="496"/>
      <c r="AJ175" s="496"/>
      <c r="AK175" s="496"/>
      <c r="AL175" s="496"/>
      <c r="AM175" s="496"/>
      <c r="AN175" s="496"/>
      <c r="AO175" s="496"/>
      <c r="AP175" s="496"/>
      <c r="AQ175" s="496"/>
      <c r="AR175" s="496"/>
      <c r="AS175" s="496"/>
      <c r="AT175" s="496"/>
      <c r="AU175" s="496"/>
      <c r="AV175" s="496"/>
      <c r="AW175" s="496"/>
      <c r="AX175" s="496"/>
      <c r="AY175" s="496"/>
      <c r="AZ175" s="496"/>
      <c r="BA175" s="496"/>
      <c r="BB175" s="496"/>
      <c r="BC175" s="496"/>
      <c r="BD175" s="496"/>
      <c r="BE175" s="496"/>
      <c r="BF175" s="496"/>
      <c r="BG175" s="496"/>
      <c r="BH175" s="496"/>
      <c r="BI175" s="496"/>
      <c r="BJ175" s="496"/>
      <c r="BK175" s="496"/>
      <c r="BL175" s="496"/>
      <c r="BM175" s="496"/>
      <c r="BN175" s="496"/>
      <c r="BO175" s="496"/>
      <c r="BP175" s="496"/>
      <c r="BQ175" s="496"/>
      <c r="BR175" s="496"/>
      <c r="BS175" s="496"/>
      <c r="BT175" s="496"/>
      <c r="BU175" s="496"/>
      <c r="BV175" s="496"/>
      <c r="BW175" s="496"/>
      <c r="BX175" s="496"/>
      <c r="BY175" s="496"/>
      <c r="BZ175" s="496"/>
      <c r="CA175" s="496"/>
    </row>
    <row r="176" spans="7:79">
      <c r="G176" s="496"/>
      <c r="H176" s="496"/>
      <c r="I176" s="496"/>
      <c r="J176" s="496"/>
      <c r="K176" s="496"/>
      <c r="L176" s="496"/>
      <c r="M176" s="496"/>
      <c r="N176" s="496"/>
      <c r="O176" s="496"/>
      <c r="P176" s="496"/>
      <c r="Q176" s="496"/>
      <c r="R176" s="496"/>
      <c r="S176" s="496"/>
      <c r="T176" s="496"/>
      <c r="U176" s="496"/>
      <c r="V176" s="496"/>
      <c r="W176" s="496"/>
      <c r="X176" s="496"/>
      <c r="Y176" s="496"/>
      <c r="Z176" s="496"/>
      <c r="AA176" s="496"/>
      <c r="AB176" s="496"/>
      <c r="AC176" s="496"/>
      <c r="AD176" s="496"/>
      <c r="AE176" s="496"/>
      <c r="AF176" s="496"/>
      <c r="AG176" s="496"/>
      <c r="AH176" s="496"/>
      <c r="AI176" s="496"/>
      <c r="AJ176" s="496"/>
      <c r="AK176" s="496"/>
      <c r="AL176" s="496"/>
      <c r="AM176" s="496"/>
      <c r="AN176" s="496"/>
      <c r="AO176" s="496"/>
      <c r="AP176" s="496"/>
      <c r="AQ176" s="496"/>
      <c r="AR176" s="496"/>
      <c r="AS176" s="496"/>
      <c r="AT176" s="496"/>
      <c r="AU176" s="496"/>
      <c r="AV176" s="496"/>
      <c r="AW176" s="496"/>
      <c r="AX176" s="496"/>
      <c r="AY176" s="496"/>
      <c r="AZ176" s="496"/>
      <c r="BA176" s="496"/>
      <c r="BB176" s="496"/>
      <c r="BC176" s="496"/>
      <c r="BD176" s="496"/>
      <c r="BE176" s="496"/>
      <c r="BF176" s="496"/>
      <c r="BG176" s="496"/>
      <c r="BH176" s="496"/>
      <c r="BI176" s="496"/>
      <c r="BJ176" s="496"/>
      <c r="BK176" s="496"/>
      <c r="BL176" s="496"/>
      <c r="BM176" s="496"/>
      <c r="BN176" s="496"/>
      <c r="BO176" s="496"/>
      <c r="BP176" s="496"/>
      <c r="BQ176" s="496"/>
      <c r="BR176" s="496"/>
      <c r="BS176" s="496"/>
      <c r="BT176" s="496"/>
      <c r="BU176" s="496"/>
      <c r="BV176" s="496"/>
      <c r="BW176" s="496"/>
      <c r="BX176" s="496"/>
      <c r="BY176" s="496"/>
      <c r="BZ176" s="496"/>
      <c r="CA176" s="496"/>
    </row>
    <row r="177" spans="7:79">
      <c r="G177" s="496"/>
      <c r="H177" s="496"/>
      <c r="I177" s="496"/>
      <c r="J177" s="496"/>
      <c r="K177" s="496"/>
      <c r="L177" s="496"/>
      <c r="M177" s="496"/>
      <c r="N177" s="496"/>
      <c r="O177" s="496"/>
      <c r="P177" s="496"/>
      <c r="Q177" s="496"/>
      <c r="R177" s="496"/>
      <c r="S177" s="496"/>
      <c r="T177" s="496"/>
      <c r="U177" s="496"/>
      <c r="V177" s="496"/>
      <c r="W177" s="496"/>
      <c r="X177" s="496"/>
      <c r="Y177" s="496"/>
      <c r="Z177" s="496"/>
      <c r="AA177" s="496"/>
      <c r="AB177" s="496"/>
      <c r="AC177" s="496"/>
      <c r="AD177" s="496"/>
      <c r="AE177" s="496"/>
      <c r="AF177" s="496"/>
      <c r="AG177" s="496"/>
      <c r="AH177" s="496"/>
      <c r="AI177" s="496"/>
      <c r="AJ177" s="496"/>
      <c r="AK177" s="496"/>
      <c r="AL177" s="496"/>
      <c r="AM177" s="496"/>
      <c r="AN177" s="496"/>
      <c r="AO177" s="496"/>
      <c r="AP177" s="496"/>
      <c r="AQ177" s="496"/>
      <c r="AR177" s="496"/>
      <c r="AS177" s="496"/>
      <c r="AT177" s="496"/>
      <c r="AU177" s="496"/>
      <c r="AV177" s="496"/>
      <c r="AW177" s="496"/>
      <c r="AX177" s="496"/>
      <c r="AY177" s="496"/>
      <c r="AZ177" s="496"/>
      <c r="BA177" s="496"/>
      <c r="BB177" s="496"/>
      <c r="BC177" s="496"/>
      <c r="BD177" s="496"/>
      <c r="BE177" s="496"/>
      <c r="BF177" s="496"/>
      <c r="BG177" s="496"/>
      <c r="BH177" s="496"/>
      <c r="BI177" s="496"/>
      <c r="BJ177" s="496"/>
      <c r="BK177" s="496"/>
      <c r="BL177" s="496"/>
      <c r="BM177" s="496"/>
      <c r="BN177" s="496"/>
      <c r="BO177" s="496"/>
      <c r="BP177" s="496"/>
      <c r="BQ177" s="496"/>
      <c r="BR177" s="496"/>
      <c r="BS177" s="496"/>
      <c r="BT177" s="496"/>
      <c r="BU177" s="496"/>
      <c r="BV177" s="496"/>
      <c r="BW177" s="496"/>
      <c r="BX177" s="496"/>
      <c r="BY177" s="496"/>
      <c r="BZ177" s="496"/>
      <c r="CA177" s="496"/>
    </row>
    <row r="178" spans="7:79">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496"/>
      <c r="AO178" s="496"/>
      <c r="AP178" s="496"/>
      <c r="AQ178" s="496"/>
      <c r="AR178" s="496"/>
      <c r="AS178" s="496"/>
      <c r="AT178" s="496"/>
      <c r="AU178" s="496"/>
      <c r="AV178" s="496"/>
      <c r="AW178" s="496"/>
      <c r="AX178" s="496"/>
      <c r="AY178" s="496"/>
      <c r="AZ178" s="496"/>
      <c r="BA178" s="496"/>
      <c r="BB178" s="496"/>
      <c r="BC178" s="496"/>
      <c r="BD178" s="496"/>
      <c r="BE178" s="496"/>
      <c r="BF178" s="496"/>
      <c r="BG178" s="496"/>
      <c r="BH178" s="496"/>
      <c r="BI178" s="496"/>
      <c r="BJ178" s="496"/>
      <c r="BK178" s="496"/>
      <c r="BL178" s="496"/>
      <c r="BM178" s="496"/>
      <c r="BN178" s="496"/>
      <c r="BO178" s="496"/>
      <c r="BP178" s="496"/>
      <c r="BQ178" s="496"/>
      <c r="BR178" s="496"/>
      <c r="BS178" s="496"/>
      <c r="BT178" s="496"/>
      <c r="BU178" s="496"/>
      <c r="BV178" s="496"/>
      <c r="BW178" s="496"/>
      <c r="BX178" s="496"/>
      <c r="BY178" s="496"/>
      <c r="BZ178" s="496"/>
      <c r="CA178" s="496"/>
    </row>
    <row r="179" spans="7:79">
      <c r="G179" s="496"/>
      <c r="H179" s="496"/>
      <c r="I179" s="496"/>
      <c r="J179" s="496"/>
      <c r="K179" s="496"/>
      <c r="L179" s="496"/>
      <c r="M179" s="496"/>
      <c r="N179" s="496"/>
      <c r="O179" s="496"/>
      <c r="P179" s="496"/>
      <c r="Q179" s="496"/>
      <c r="R179" s="496"/>
      <c r="S179" s="496"/>
      <c r="T179" s="496"/>
      <c r="U179" s="496"/>
      <c r="V179" s="496"/>
      <c r="W179" s="496"/>
      <c r="X179" s="496"/>
      <c r="Y179" s="496"/>
      <c r="Z179" s="496"/>
      <c r="AA179" s="496"/>
      <c r="AB179" s="496"/>
      <c r="AC179" s="496"/>
      <c r="AD179" s="496"/>
      <c r="AE179" s="496"/>
      <c r="AF179" s="496"/>
      <c r="AG179" s="496"/>
      <c r="AH179" s="496"/>
      <c r="AI179" s="496"/>
      <c r="AJ179" s="496"/>
      <c r="AK179" s="496"/>
      <c r="AL179" s="496"/>
      <c r="AM179" s="496"/>
      <c r="AN179" s="496"/>
      <c r="AO179" s="496"/>
      <c r="AP179" s="496"/>
      <c r="AQ179" s="496"/>
      <c r="AR179" s="496"/>
      <c r="AS179" s="496"/>
      <c r="AT179" s="496"/>
      <c r="AU179" s="496"/>
      <c r="AV179" s="496"/>
      <c r="AW179" s="496"/>
      <c r="AX179" s="496"/>
      <c r="AY179" s="496"/>
      <c r="AZ179" s="496"/>
      <c r="BA179" s="496"/>
      <c r="BB179" s="496"/>
      <c r="BC179" s="496"/>
      <c r="BD179" s="496"/>
      <c r="BE179" s="496"/>
      <c r="BF179" s="496"/>
      <c r="BG179" s="496"/>
      <c r="BH179" s="496"/>
      <c r="BI179" s="496"/>
      <c r="BJ179" s="496"/>
      <c r="BK179" s="496"/>
      <c r="BL179" s="496"/>
      <c r="BM179" s="496"/>
      <c r="BN179" s="496"/>
      <c r="BO179" s="496"/>
      <c r="BP179" s="496"/>
      <c r="BQ179" s="496"/>
      <c r="BR179" s="496"/>
      <c r="BS179" s="496"/>
      <c r="BT179" s="496"/>
      <c r="BU179" s="496"/>
      <c r="BV179" s="496"/>
      <c r="BW179" s="496"/>
      <c r="BX179" s="496"/>
      <c r="BY179" s="496"/>
      <c r="BZ179" s="496"/>
      <c r="CA179" s="496"/>
    </row>
    <row r="180" spans="7:79">
      <c r="G180" s="496"/>
      <c r="H180" s="496"/>
      <c r="I180" s="496"/>
      <c r="J180" s="496"/>
      <c r="K180" s="496"/>
      <c r="L180" s="496"/>
      <c r="M180" s="496"/>
      <c r="N180" s="496"/>
      <c r="O180" s="496"/>
      <c r="P180" s="496"/>
      <c r="Q180" s="496"/>
      <c r="R180" s="496"/>
      <c r="S180" s="496"/>
      <c r="T180" s="496"/>
      <c r="U180" s="496"/>
      <c r="V180" s="496"/>
      <c r="W180" s="496"/>
      <c r="X180" s="496"/>
      <c r="Y180" s="496"/>
      <c r="Z180" s="496"/>
      <c r="AA180" s="496"/>
      <c r="AB180" s="496"/>
      <c r="AC180" s="496"/>
      <c r="AD180" s="496"/>
      <c r="AE180" s="496"/>
      <c r="AF180" s="496"/>
      <c r="AG180" s="496"/>
      <c r="AH180" s="496"/>
      <c r="AI180" s="496"/>
      <c r="AJ180" s="496"/>
      <c r="AK180" s="496"/>
      <c r="AL180" s="496"/>
      <c r="AM180" s="496"/>
      <c r="AN180" s="496"/>
      <c r="AO180" s="496"/>
      <c r="AP180" s="496"/>
      <c r="AQ180" s="496"/>
      <c r="AR180" s="496"/>
      <c r="AS180" s="496"/>
      <c r="AT180" s="496"/>
      <c r="AU180" s="496"/>
      <c r="AV180" s="496"/>
      <c r="AW180" s="496"/>
      <c r="AX180" s="496"/>
      <c r="AY180" s="496"/>
      <c r="AZ180" s="496"/>
      <c r="BA180" s="496"/>
      <c r="BB180" s="496"/>
      <c r="BC180" s="496"/>
      <c r="BD180" s="496"/>
      <c r="BE180" s="496"/>
      <c r="BF180" s="496"/>
      <c r="BG180" s="496"/>
      <c r="BH180" s="496"/>
      <c r="BI180" s="496"/>
      <c r="BJ180" s="496"/>
      <c r="BK180" s="496"/>
      <c r="BL180" s="496"/>
      <c r="BM180" s="496"/>
      <c r="BN180" s="496"/>
      <c r="BO180" s="496"/>
      <c r="BP180" s="496"/>
      <c r="BQ180" s="496"/>
      <c r="BR180" s="496"/>
      <c r="BS180" s="496"/>
      <c r="BT180" s="496"/>
      <c r="BU180" s="496"/>
      <c r="BV180" s="496"/>
      <c r="BW180" s="496"/>
      <c r="BX180" s="496"/>
      <c r="BY180" s="496"/>
      <c r="BZ180" s="496"/>
      <c r="CA180" s="496"/>
    </row>
    <row r="181" spans="7:79">
      <c r="G181" s="496"/>
      <c r="H181" s="496"/>
      <c r="I181" s="496"/>
      <c r="J181" s="496"/>
      <c r="K181" s="496"/>
      <c r="L181" s="496"/>
      <c r="M181" s="496"/>
      <c r="N181" s="496"/>
      <c r="O181" s="496"/>
      <c r="P181" s="496"/>
      <c r="Q181" s="496"/>
      <c r="R181" s="496"/>
      <c r="S181" s="496"/>
      <c r="T181" s="496"/>
      <c r="U181" s="496"/>
      <c r="V181" s="496"/>
      <c r="W181" s="496"/>
      <c r="X181" s="496"/>
      <c r="Y181" s="496"/>
      <c r="Z181" s="496"/>
      <c r="AA181" s="496"/>
      <c r="AB181" s="496"/>
      <c r="AC181" s="496"/>
      <c r="AD181" s="496"/>
      <c r="AE181" s="496"/>
      <c r="AF181" s="496"/>
      <c r="AG181" s="496"/>
      <c r="AH181" s="496"/>
      <c r="AI181" s="496"/>
      <c r="AJ181" s="496"/>
      <c r="AK181" s="496"/>
      <c r="AL181" s="496"/>
      <c r="AM181" s="496"/>
      <c r="AN181" s="496"/>
      <c r="AO181" s="496"/>
      <c r="AP181" s="496"/>
      <c r="AQ181" s="496"/>
      <c r="AR181" s="496"/>
      <c r="AS181" s="496"/>
      <c r="AT181" s="496"/>
      <c r="AU181" s="496"/>
      <c r="AV181" s="496"/>
      <c r="AW181" s="496"/>
      <c r="AX181" s="496"/>
      <c r="AY181" s="496"/>
      <c r="AZ181" s="496"/>
      <c r="BA181" s="496"/>
      <c r="BB181" s="496"/>
      <c r="BC181" s="496"/>
      <c r="BD181" s="496"/>
      <c r="BE181" s="496"/>
      <c r="BF181" s="496"/>
      <c r="BG181" s="496"/>
      <c r="BH181" s="496"/>
      <c r="BI181" s="496"/>
      <c r="BJ181" s="496"/>
      <c r="BK181" s="496"/>
      <c r="BL181" s="496"/>
      <c r="BM181" s="496"/>
      <c r="BN181" s="496"/>
      <c r="BO181" s="496"/>
      <c r="BP181" s="496"/>
      <c r="BQ181" s="496"/>
      <c r="BR181" s="496"/>
      <c r="BS181" s="496"/>
      <c r="BT181" s="496"/>
      <c r="BU181" s="496"/>
      <c r="BV181" s="496"/>
      <c r="BW181" s="496"/>
      <c r="BX181" s="496"/>
      <c r="BY181" s="496"/>
      <c r="BZ181" s="496"/>
      <c r="CA181" s="496"/>
    </row>
    <row r="182" spans="7:79">
      <c r="G182" s="496"/>
      <c r="H182" s="496"/>
      <c r="I182" s="496"/>
      <c r="J182" s="496"/>
      <c r="K182" s="496"/>
      <c r="L182" s="496"/>
      <c r="M182" s="496"/>
      <c r="N182" s="496"/>
      <c r="O182" s="496"/>
      <c r="P182" s="496"/>
      <c r="Q182" s="496"/>
      <c r="R182" s="496"/>
      <c r="S182" s="496"/>
      <c r="T182" s="496"/>
      <c r="U182" s="496"/>
      <c r="V182" s="496"/>
      <c r="W182" s="496"/>
      <c r="X182" s="496"/>
      <c r="Y182" s="496"/>
      <c r="Z182" s="496"/>
      <c r="AA182" s="496"/>
      <c r="AB182" s="496"/>
      <c r="AC182" s="496"/>
      <c r="AD182" s="496"/>
      <c r="AE182" s="496"/>
      <c r="AF182" s="496"/>
      <c r="AG182" s="496"/>
      <c r="AH182" s="496"/>
      <c r="AI182" s="496"/>
      <c r="AJ182" s="496"/>
      <c r="AK182" s="496"/>
      <c r="AL182" s="496"/>
      <c r="AM182" s="496"/>
      <c r="AN182" s="496"/>
      <c r="AO182" s="496"/>
      <c r="AP182" s="496"/>
      <c r="AQ182" s="496"/>
      <c r="AR182" s="496"/>
      <c r="AS182" s="496"/>
      <c r="AT182" s="496"/>
      <c r="AU182" s="496"/>
      <c r="AV182" s="496"/>
      <c r="AW182" s="496"/>
      <c r="AX182" s="496"/>
      <c r="AY182" s="496"/>
      <c r="AZ182" s="496"/>
      <c r="BA182" s="496"/>
      <c r="BB182" s="496"/>
      <c r="BC182" s="496"/>
      <c r="BD182" s="496"/>
      <c r="BE182" s="496"/>
      <c r="BF182" s="496"/>
      <c r="BG182" s="496"/>
      <c r="BH182" s="496"/>
      <c r="BI182" s="496"/>
      <c r="BJ182" s="496"/>
      <c r="BK182" s="496"/>
      <c r="BL182" s="496"/>
      <c r="BM182" s="496"/>
      <c r="BN182" s="496"/>
      <c r="BO182" s="496"/>
      <c r="BP182" s="496"/>
      <c r="BQ182" s="496"/>
      <c r="BR182" s="496"/>
      <c r="BS182" s="496"/>
      <c r="BT182" s="496"/>
      <c r="BU182" s="496"/>
      <c r="BV182" s="496"/>
      <c r="BW182" s="496"/>
      <c r="BX182" s="496"/>
      <c r="BY182" s="496"/>
      <c r="BZ182" s="496"/>
      <c r="CA182" s="496"/>
    </row>
    <row r="183" spans="7:79">
      <c r="G183" s="496"/>
      <c r="H183" s="496"/>
      <c r="I183" s="496"/>
      <c r="J183" s="496"/>
      <c r="K183" s="496"/>
      <c r="L183" s="496"/>
      <c r="M183" s="496"/>
      <c r="N183" s="496"/>
      <c r="O183" s="496"/>
      <c r="P183" s="496"/>
      <c r="Q183" s="496"/>
      <c r="R183" s="496"/>
      <c r="S183" s="496"/>
      <c r="T183" s="496"/>
      <c r="U183" s="496"/>
      <c r="V183" s="496"/>
      <c r="W183" s="496"/>
      <c r="X183" s="496"/>
      <c r="Y183" s="496"/>
      <c r="Z183" s="496"/>
      <c r="AA183" s="496"/>
      <c r="AB183" s="496"/>
      <c r="AC183" s="496"/>
      <c r="AD183" s="496"/>
      <c r="AE183" s="496"/>
      <c r="AF183" s="496"/>
      <c r="AG183" s="496"/>
      <c r="AH183" s="496"/>
      <c r="AI183" s="496"/>
      <c r="AJ183" s="496"/>
      <c r="AK183" s="496"/>
      <c r="AL183" s="496"/>
      <c r="AM183" s="496"/>
      <c r="AN183" s="496"/>
      <c r="AO183" s="496"/>
      <c r="AP183" s="496"/>
      <c r="AQ183" s="496"/>
      <c r="AR183" s="496"/>
      <c r="AS183" s="496"/>
      <c r="AT183" s="496"/>
      <c r="AU183" s="496"/>
      <c r="AV183" s="496"/>
      <c r="AW183" s="496"/>
      <c r="AX183" s="496"/>
      <c r="AY183" s="496"/>
      <c r="AZ183" s="496"/>
      <c r="BA183" s="496"/>
      <c r="BB183" s="496"/>
      <c r="BC183" s="496"/>
      <c r="BD183" s="496"/>
      <c r="BE183" s="496"/>
      <c r="BF183" s="496"/>
      <c r="BG183" s="496"/>
      <c r="BH183" s="496"/>
      <c r="BI183" s="496"/>
      <c r="BJ183" s="496"/>
      <c r="BK183" s="496"/>
      <c r="BL183" s="496"/>
      <c r="BM183" s="496"/>
      <c r="BN183" s="496"/>
      <c r="BO183" s="496"/>
      <c r="BP183" s="496"/>
      <c r="BQ183" s="496"/>
      <c r="BR183" s="496"/>
      <c r="BS183" s="496"/>
      <c r="BT183" s="496"/>
      <c r="BU183" s="496"/>
      <c r="BV183" s="496"/>
      <c r="BW183" s="496"/>
      <c r="BX183" s="496"/>
      <c r="BY183" s="496"/>
      <c r="BZ183" s="496"/>
      <c r="CA183" s="496"/>
    </row>
    <row r="184" spans="7:79">
      <c r="G184" s="496"/>
      <c r="H184" s="496"/>
      <c r="I184" s="496"/>
      <c r="J184" s="496"/>
      <c r="K184" s="496"/>
      <c r="L184" s="496"/>
      <c r="M184" s="496"/>
      <c r="N184" s="496"/>
      <c r="O184" s="496"/>
      <c r="P184" s="496"/>
      <c r="Q184" s="496"/>
      <c r="R184" s="496"/>
      <c r="S184" s="496"/>
      <c r="T184" s="496"/>
      <c r="U184" s="496"/>
      <c r="V184" s="496"/>
      <c r="W184" s="496"/>
      <c r="X184" s="496"/>
      <c r="Y184" s="496"/>
      <c r="Z184" s="496"/>
      <c r="AA184" s="496"/>
      <c r="AB184" s="496"/>
      <c r="AC184" s="496"/>
      <c r="AD184" s="496"/>
      <c r="AE184" s="496"/>
      <c r="AF184" s="496"/>
      <c r="AG184" s="496"/>
      <c r="AH184" s="496"/>
      <c r="AI184" s="496"/>
      <c r="AJ184" s="496"/>
      <c r="AK184" s="496"/>
      <c r="AL184" s="496"/>
      <c r="AM184" s="496"/>
      <c r="AN184" s="496"/>
      <c r="AO184" s="496"/>
      <c r="AP184" s="496"/>
      <c r="AQ184" s="496"/>
      <c r="AR184" s="496"/>
      <c r="AS184" s="496"/>
      <c r="AT184" s="496"/>
      <c r="AU184" s="496"/>
      <c r="AV184" s="496"/>
      <c r="AW184" s="496"/>
      <c r="AX184" s="496"/>
      <c r="AY184" s="496"/>
      <c r="AZ184" s="496"/>
      <c r="BA184" s="496"/>
      <c r="BB184" s="496"/>
      <c r="BC184" s="496"/>
      <c r="BD184" s="496"/>
      <c r="BE184" s="496"/>
      <c r="BF184" s="496"/>
      <c r="BG184" s="496"/>
      <c r="BH184" s="496"/>
      <c r="BI184" s="496"/>
      <c r="BJ184" s="496"/>
      <c r="BK184" s="496"/>
      <c r="BL184" s="496"/>
      <c r="BM184" s="496"/>
      <c r="BN184" s="496"/>
      <c r="BO184" s="496"/>
      <c r="BP184" s="496"/>
      <c r="BQ184" s="496"/>
      <c r="BR184" s="496"/>
      <c r="BS184" s="496"/>
      <c r="BT184" s="496"/>
      <c r="BU184" s="496"/>
      <c r="BV184" s="496"/>
      <c r="BW184" s="496"/>
      <c r="BX184" s="496"/>
      <c r="BY184" s="496"/>
      <c r="BZ184" s="496"/>
      <c r="CA184" s="496"/>
    </row>
    <row r="185" spans="7:79">
      <c r="G185" s="496"/>
      <c r="H185" s="496"/>
      <c r="I185" s="496"/>
      <c r="J185" s="496"/>
      <c r="K185" s="496"/>
      <c r="L185" s="496"/>
      <c r="M185" s="496"/>
      <c r="N185" s="496"/>
      <c r="O185" s="496"/>
      <c r="P185" s="496"/>
      <c r="Q185" s="496"/>
      <c r="R185" s="496"/>
      <c r="S185" s="496"/>
      <c r="T185" s="496"/>
      <c r="U185" s="496"/>
      <c r="V185" s="496"/>
      <c r="W185" s="496"/>
      <c r="X185" s="496"/>
      <c r="Y185" s="496"/>
      <c r="Z185" s="496"/>
      <c r="AA185" s="496"/>
      <c r="AB185" s="496"/>
      <c r="AC185" s="496"/>
      <c r="AD185" s="496"/>
      <c r="AE185" s="496"/>
      <c r="AF185" s="496"/>
      <c r="AG185" s="496"/>
      <c r="AH185" s="496"/>
      <c r="AI185" s="496"/>
      <c r="AJ185" s="496"/>
      <c r="AK185" s="496"/>
      <c r="AL185" s="496"/>
      <c r="AM185" s="496"/>
      <c r="AN185" s="496"/>
      <c r="AO185" s="496"/>
      <c r="AP185" s="496"/>
      <c r="AQ185" s="496"/>
      <c r="AR185" s="496"/>
      <c r="AS185" s="496"/>
      <c r="AT185" s="496"/>
      <c r="AU185" s="496"/>
      <c r="AV185" s="496"/>
      <c r="AW185" s="496"/>
      <c r="AX185" s="496"/>
      <c r="AY185" s="496"/>
      <c r="AZ185" s="496"/>
      <c r="BA185" s="496"/>
      <c r="BB185" s="496"/>
      <c r="BC185" s="496"/>
      <c r="BD185" s="496"/>
      <c r="BE185" s="496"/>
      <c r="BF185" s="496"/>
      <c r="BG185" s="496"/>
      <c r="BH185" s="496"/>
      <c r="BI185" s="496"/>
      <c r="BJ185" s="496"/>
      <c r="BK185" s="496"/>
      <c r="BL185" s="496"/>
      <c r="BM185" s="496"/>
      <c r="BN185" s="496"/>
      <c r="BO185" s="496"/>
      <c r="BP185" s="496"/>
      <c r="BQ185" s="496"/>
      <c r="BR185" s="496"/>
      <c r="BS185" s="496"/>
      <c r="BT185" s="496"/>
      <c r="BU185" s="496"/>
      <c r="BV185" s="496"/>
      <c r="BW185" s="496"/>
      <c r="BX185" s="496"/>
      <c r="BY185" s="496"/>
      <c r="BZ185" s="496"/>
      <c r="CA185" s="496"/>
    </row>
    <row r="186" spans="7:79">
      <c r="G186" s="496"/>
      <c r="H186" s="496"/>
      <c r="I186" s="496"/>
      <c r="J186" s="496"/>
      <c r="K186" s="496"/>
      <c r="L186" s="496"/>
      <c r="M186" s="496"/>
      <c r="N186" s="496"/>
      <c r="O186" s="496"/>
      <c r="P186" s="496"/>
      <c r="Q186" s="496"/>
      <c r="R186" s="496"/>
      <c r="S186" s="496"/>
      <c r="T186" s="496"/>
      <c r="U186" s="496"/>
      <c r="V186" s="496"/>
      <c r="W186" s="496"/>
      <c r="X186" s="496"/>
      <c r="Y186" s="496"/>
      <c r="Z186" s="496"/>
      <c r="AA186" s="496"/>
      <c r="AB186" s="496"/>
      <c r="AC186" s="496"/>
      <c r="AD186" s="496"/>
      <c r="AE186" s="496"/>
      <c r="AF186" s="496"/>
      <c r="AG186" s="496"/>
      <c r="AH186" s="496"/>
      <c r="AI186" s="496"/>
      <c r="AJ186" s="496"/>
      <c r="AK186" s="496"/>
      <c r="AL186" s="496"/>
      <c r="AM186" s="496"/>
      <c r="AN186" s="496"/>
      <c r="AO186" s="496"/>
      <c r="AP186" s="496"/>
      <c r="AQ186" s="496"/>
      <c r="AR186" s="496"/>
      <c r="AS186" s="496"/>
      <c r="AT186" s="496"/>
      <c r="AU186" s="496"/>
      <c r="AV186" s="496"/>
      <c r="AW186" s="496"/>
      <c r="AX186" s="496"/>
      <c r="AY186" s="496"/>
      <c r="AZ186" s="496"/>
      <c r="BA186" s="496"/>
      <c r="BB186" s="496"/>
      <c r="BC186" s="496"/>
      <c r="BD186" s="496"/>
      <c r="BE186" s="496"/>
      <c r="BF186" s="496"/>
      <c r="BG186" s="496"/>
      <c r="BH186" s="496"/>
      <c r="BI186" s="496"/>
      <c r="BJ186" s="496"/>
      <c r="BK186" s="496"/>
      <c r="BL186" s="496"/>
      <c r="BM186" s="496"/>
      <c r="BN186" s="496"/>
      <c r="BO186" s="496"/>
      <c r="BP186" s="496"/>
      <c r="BQ186" s="496"/>
      <c r="BR186" s="496"/>
      <c r="BS186" s="496"/>
      <c r="BT186" s="496"/>
      <c r="BU186" s="496"/>
      <c r="BV186" s="496"/>
      <c r="BW186" s="496"/>
      <c r="BX186" s="496"/>
      <c r="BY186" s="496"/>
      <c r="BZ186" s="496"/>
      <c r="CA186" s="496"/>
    </row>
    <row r="187" spans="7:79">
      <c r="G187" s="496"/>
      <c r="H187" s="496"/>
      <c r="I187" s="496"/>
      <c r="J187" s="496"/>
      <c r="K187" s="496"/>
      <c r="L187" s="496"/>
      <c r="M187" s="496"/>
      <c r="N187" s="496"/>
      <c r="O187" s="496"/>
      <c r="P187" s="496"/>
      <c r="Q187" s="496"/>
      <c r="R187" s="496"/>
      <c r="S187" s="496"/>
      <c r="T187" s="496"/>
      <c r="U187" s="496"/>
      <c r="V187" s="496"/>
      <c r="W187" s="496"/>
      <c r="X187" s="496"/>
      <c r="Y187" s="496"/>
      <c r="Z187" s="496"/>
      <c r="AA187" s="496"/>
      <c r="AB187" s="496"/>
      <c r="AC187" s="496"/>
      <c r="AD187" s="496"/>
      <c r="AE187" s="496"/>
      <c r="AF187" s="496"/>
      <c r="AG187" s="496"/>
      <c r="AH187" s="496"/>
      <c r="AI187" s="496"/>
      <c r="AJ187" s="496"/>
      <c r="AK187" s="496"/>
      <c r="AL187" s="496"/>
      <c r="AM187" s="496"/>
      <c r="AN187" s="496"/>
      <c r="AO187" s="496"/>
      <c r="AP187" s="496"/>
      <c r="AQ187" s="496"/>
      <c r="AR187" s="496"/>
      <c r="AS187" s="496"/>
      <c r="AT187" s="496"/>
      <c r="AU187" s="496"/>
      <c r="AV187" s="496"/>
      <c r="AW187" s="496"/>
      <c r="AX187" s="496"/>
      <c r="AY187" s="496"/>
      <c r="AZ187" s="496"/>
      <c r="BA187" s="496"/>
      <c r="BB187" s="496"/>
      <c r="BC187" s="496"/>
      <c r="BD187" s="496"/>
      <c r="BE187" s="496"/>
      <c r="BF187" s="496"/>
      <c r="BG187" s="496"/>
      <c r="BH187" s="496"/>
      <c r="BI187" s="496"/>
      <c r="BJ187" s="496"/>
      <c r="BK187" s="496"/>
      <c r="BL187" s="496"/>
      <c r="BM187" s="496"/>
      <c r="BN187" s="496"/>
      <c r="BO187" s="496"/>
      <c r="BP187" s="496"/>
      <c r="BQ187" s="496"/>
      <c r="BR187" s="496"/>
      <c r="BS187" s="496"/>
      <c r="BT187" s="496"/>
      <c r="BU187" s="496"/>
      <c r="BV187" s="496"/>
      <c r="BW187" s="496"/>
      <c r="BX187" s="496"/>
      <c r="BY187" s="496"/>
      <c r="BZ187" s="496"/>
      <c r="CA187" s="496"/>
    </row>
    <row r="188" spans="7:79">
      <c r="G188" s="496"/>
      <c r="H188" s="496"/>
      <c r="I188" s="496"/>
      <c r="J188" s="496"/>
      <c r="K188" s="496"/>
      <c r="L188" s="496"/>
      <c r="M188" s="496"/>
      <c r="N188" s="496"/>
      <c r="O188" s="496"/>
      <c r="P188" s="496"/>
      <c r="Q188" s="496"/>
      <c r="R188" s="496"/>
      <c r="S188" s="496"/>
      <c r="T188" s="496"/>
      <c r="U188" s="496"/>
      <c r="V188" s="496"/>
      <c r="W188" s="496"/>
      <c r="X188" s="496"/>
      <c r="Y188" s="496"/>
      <c r="Z188" s="496"/>
      <c r="AA188" s="496"/>
      <c r="AB188" s="496"/>
      <c r="AC188" s="496"/>
      <c r="AD188" s="496"/>
      <c r="AE188" s="496"/>
      <c r="AF188" s="496"/>
      <c r="AG188" s="496"/>
      <c r="AH188" s="496"/>
      <c r="AI188" s="496"/>
      <c r="AJ188" s="496"/>
      <c r="AK188" s="496"/>
      <c r="AL188" s="496"/>
      <c r="AM188" s="496"/>
      <c r="AN188" s="496"/>
      <c r="AO188" s="496"/>
      <c r="AP188" s="496"/>
      <c r="AQ188" s="496"/>
      <c r="AR188" s="496"/>
      <c r="AS188" s="496"/>
      <c r="AT188" s="496"/>
      <c r="AU188" s="496"/>
      <c r="AV188" s="496"/>
      <c r="AW188" s="496"/>
      <c r="AX188" s="496"/>
      <c r="AY188" s="496"/>
      <c r="AZ188" s="496"/>
      <c r="BA188" s="496"/>
      <c r="BB188" s="496"/>
      <c r="BC188" s="496"/>
      <c r="BD188" s="496"/>
      <c r="BE188" s="496"/>
      <c r="BF188" s="496"/>
      <c r="BG188" s="496"/>
      <c r="BH188" s="496"/>
      <c r="BI188" s="496"/>
      <c r="BJ188" s="496"/>
      <c r="BK188" s="496"/>
      <c r="BL188" s="496"/>
      <c r="BM188" s="496"/>
      <c r="BN188" s="496"/>
      <c r="BO188" s="496"/>
      <c r="BP188" s="496"/>
      <c r="BQ188" s="496"/>
      <c r="BR188" s="496"/>
      <c r="BS188" s="496"/>
      <c r="BT188" s="496"/>
      <c r="BU188" s="496"/>
      <c r="BV188" s="496"/>
      <c r="BW188" s="496"/>
      <c r="BX188" s="496"/>
      <c r="BY188" s="496"/>
      <c r="BZ188" s="496"/>
      <c r="CA188" s="496"/>
    </row>
    <row r="189" spans="7:79">
      <c r="G189" s="496"/>
      <c r="H189" s="496"/>
      <c r="I189" s="496"/>
      <c r="J189" s="496"/>
      <c r="K189" s="496"/>
      <c r="L189" s="496"/>
      <c r="M189" s="496"/>
      <c r="N189" s="496"/>
      <c r="O189" s="496"/>
      <c r="P189" s="496"/>
      <c r="Q189" s="496"/>
      <c r="R189" s="496"/>
      <c r="S189" s="496"/>
      <c r="T189" s="496"/>
      <c r="U189" s="496"/>
      <c r="V189" s="496"/>
      <c r="W189" s="496"/>
      <c r="X189" s="496"/>
      <c r="Y189" s="496"/>
      <c r="Z189" s="496"/>
      <c r="AA189" s="496"/>
      <c r="AB189" s="496"/>
      <c r="AC189" s="496"/>
      <c r="AD189" s="496"/>
      <c r="AE189" s="496"/>
      <c r="AF189" s="496"/>
      <c r="AG189" s="496"/>
      <c r="AH189" s="496"/>
      <c r="AI189" s="496"/>
      <c r="AJ189" s="496"/>
      <c r="AK189" s="496"/>
      <c r="AL189" s="496"/>
      <c r="AM189" s="496"/>
      <c r="AN189" s="496"/>
      <c r="AO189" s="496"/>
      <c r="AP189" s="496"/>
      <c r="AQ189" s="496"/>
      <c r="AR189" s="496"/>
      <c r="AS189" s="496"/>
      <c r="AT189" s="496"/>
      <c r="AU189" s="496"/>
      <c r="AV189" s="718"/>
      <c r="AW189" s="718"/>
      <c r="AX189" s="718"/>
      <c r="AY189" s="718"/>
      <c r="AZ189" s="718"/>
      <c r="BA189" s="718"/>
      <c r="BB189" s="718"/>
      <c r="BC189" s="718"/>
      <c r="BD189" s="718"/>
      <c r="BE189" s="718"/>
      <c r="BF189" s="718"/>
      <c r="BG189" s="718"/>
      <c r="BH189" s="720"/>
      <c r="BI189" s="720"/>
      <c r="BJ189" s="720"/>
      <c r="BK189" s="720"/>
      <c r="BL189" s="720"/>
      <c r="BM189" s="720"/>
      <c r="BN189" s="720"/>
      <c r="BO189" s="720"/>
      <c r="BP189" s="720"/>
      <c r="BQ189" s="720"/>
      <c r="BR189" s="720"/>
      <c r="BS189" s="720"/>
      <c r="BT189" s="496"/>
      <c r="BU189" s="496"/>
      <c r="BV189" s="496"/>
      <c r="BW189" s="496"/>
      <c r="BX189" s="496"/>
      <c r="BY189" s="496"/>
      <c r="BZ189" s="496"/>
      <c r="CA189" s="496"/>
    </row>
    <row r="190" spans="7:79">
      <c r="G190" s="496"/>
      <c r="H190" s="496"/>
      <c r="I190" s="496"/>
      <c r="J190" s="496"/>
      <c r="K190" s="496"/>
      <c r="L190" s="496"/>
      <c r="M190" s="496"/>
      <c r="N190" s="496"/>
      <c r="O190" s="496"/>
      <c r="P190" s="496"/>
      <c r="Q190" s="496"/>
      <c r="R190" s="496"/>
      <c r="S190" s="496"/>
      <c r="T190" s="496"/>
      <c r="U190" s="496"/>
      <c r="V190" s="496"/>
      <c r="W190" s="496"/>
      <c r="X190" s="496"/>
      <c r="Y190" s="496"/>
      <c r="Z190" s="496"/>
      <c r="AA190" s="496"/>
      <c r="AB190" s="496"/>
      <c r="AC190" s="496"/>
      <c r="AD190" s="496"/>
      <c r="AE190" s="496"/>
      <c r="AF190" s="496"/>
      <c r="AG190" s="496"/>
      <c r="AH190" s="496"/>
      <c r="AI190" s="496"/>
      <c r="AJ190" s="496"/>
      <c r="AK190" s="496"/>
      <c r="AL190" s="496"/>
      <c r="AM190" s="496"/>
      <c r="AN190" s="496"/>
      <c r="AO190" s="496"/>
      <c r="AP190" s="496"/>
      <c r="AQ190" s="496"/>
      <c r="AR190" s="496"/>
      <c r="AS190" s="496"/>
      <c r="AT190" s="496"/>
      <c r="AU190" s="496"/>
      <c r="AV190" s="718"/>
      <c r="AW190" s="718"/>
      <c r="AX190" s="718"/>
      <c r="AY190" s="718"/>
      <c r="AZ190" s="718"/>
      <c r="BA190" s="718"/>
      <c r="BB190" s="718"/>
      <c r="BC190" s="718"/>
      <c r="BD190" s="718"/>
      <c r="BE190" s="718"/>
      <c r="BF190" s="718"/>
      <c r="BG190" s="718"/>
      <c r="BH190" s="720"/>
      <c r="BI190" s="720"/>
      <c r="BJ190" s="720"/>
      <c r="BK190" s="720"/>
      <c r="BL190" s="720"/>
      <c r="BM190" s="720"/>
      <c r="BN190" s="720"/>
      <c r="BO190" s="720"/>
      <c r="BP190" s="720"/>
      <c r="BQ190" s="720"/>
      <c r="BR190" s="720"/>
      <c r="BS190" s="720"/>
      <c r="BT190" s="496"/>
      <c r="BU190" s="496"/>
      <c r="BV190" s="496"/>
      <c r="BW190" s="496"/>
      <c r="BX190" s="496"/>
      <c r="BY190" s="496"/>
      <c r="BZ190" s="496"/>
      <c r="CA190" s="496"/>
    </row>
    <row r="191" spans="7:79">
      <c r="G191" s="496"/>
      <c r="H191" s="496"/>
      <c r="I191" s="496"/>
      <c r="J191" s="496"/>
      <c r="K191" s="496"/>
      <c r="L191" s="496"/>
      <c r="M191" s="496"/>
      <c r="N191" s="496"/>
      <c r="O191" s="496"/>
      <c r="P191" s="496"/>
      <c r="Q191" s="496"/>
      <c r="R191" s="496"/>
      <c r="S191" s="496"/>
      <c r="T191" s="496"/>
      <c r="U191" s="496"/>
      <c r="V191" s="496"/>
      <c r="W191" s="496"/>
      <c r="X191" s="496"/>
      <c r="Y191" s="496"/>
      <c r="Z191" s="496"/>
      <c r="AA191" s="496"/>
      <c r="AB191" s="496"/>
      <c r="AC191" s="496"/>
      <c r="AD191" s="496"/>
      <c r="AE191" s="496"/>
      <c r="AF191" s="496"/>
      <c r="AG191" s="496"/>
      <c r="AH191" s="496"/>
      <c r="AI191" s="496"/>
      <c r="AJ191" s="496"/>
      <c r="AK191" s="496"/>
      <c r="AL191" s="496"/>
      <c r="AM191" s="496"/>
      <c r="AN191" s="496"/>
      <c r="AO191" s="496"/>
      <c r="AP191" s="496"/>
      <c r="AQ191" s="496"/>
      <c r="AR191" s="496"/>
      <c r="AS191" s="496"/>
      <c r="AT191" s="496"/>
      <c r="AU191" s="496"/>
      <c r="AV191" s="718"/>
      <c r="AW191" s="718"/>
      <c r="AX191" s="718"/>
      <c r="AY191" s="718"/>
      <c r="AZ191" s="718"/>
      <c r="BA191" s="718"/>
      <c r="BB191" s="718"/>
      <c r="BC191" s="718"/>
      <c r="BD191" s="718"/>
      <c r="BE191" s="718"/>
      <c r="BF191" s="718"/>
      <c r="BG191" s="718"/>
      <c r="BH191" s="720"/>
      <c r="BI191" s="720"/>
      <c r="BJ191" s="720"/>
      <c r="BK191" s="720"/>
      <c r="BL191" s="720"/>
      <c r="BM191" s="720"/>
      <c r="BN191" s="720"/>
      <c r="BO191" s="720"/>
      <c r="BP191" s="720" t="e">
        <f>IF(B3="zone a",VLOOKUP(BS191,BO192:BR195,2),IF(B3="zone b",VLOOKUP(BS191,BO192:BR195,3),IF(B3="zone c",VLOOKUP(BS191,BO192:BR195,4),0)))</f>
        <v>#N/A</v>
      </c>
      <c r="BQ191" s="720"/>
      <c r="BR191" s="720"/>
      <c r="BS191" s="720">
        <f>IF($B$5="&lt;5",BO193,IF($B$5="5 to 7",BO194,IF($B$5="&gt;7",BO195,0)))</f>
        <v>0</v>
      </c>
      <c r="BT191" s="496"/>
      <c r="BU191" s="496"/>
      <c r="BV191" s="496"/>
      <c r="BW191" s="496"/>
      <c r="BX191" s="496"/>
      <c r="BY191" s="496"/>
      <c r="BZ191" s="496"/>
      <c r="CA191" s="496"/>
    </row>
    <row r="192" spans="7:79">
      <c r="G192" s="496"/>
      <c r="H192" s="496"/>
      <c r="I192" s="496"/>
      <c r="J192" s="496"/>
      <c r="K192" s="496"/>
      <c r="L192" s="496"/>
      <c r="M192" s="496"/>
      <c r="N192" s="496"/>
      <c r="O192" s="496"/>
      <c r="P192" s="496"/>
      <c r="Q192" s="496"/>
      <c r="R192" s="496"/>
      <c r="S192" s="496"/>
      <c r="T192" s="496"/>
      <c r="U192" s="496"/>
      <c r="V192" s="496"/>
      <c r="W192" s="496"/>
      <c r="X192" s="496"/>
      <c r="Y192" s="496"/>
      <c r="Z192" s="496"/>
      <c r="AA192" s="496"/>
      <c r="AB192" s="496"/>
      <c r="AC192" s="496"/>
      <c r="AD192" s="496"/>
      <c r="AE192" s="496"/>
      <c r="AF192" s="496"/>
      <c r="AG192" s="496"/>
      <c r="AH192" s="496"/>
      <c r="AI192" s="496"/>
      <c r="AJ192" s="496"/>
      <c r="AK192" s="496"/>
      <c r="AL192" s="496"/>
      <c r="AM192" s="496"/>
      <c r="AN192" s="496"/>
      <c r="AO192" s="496"/>
      <c r="AP192" s="496"/>
      <c r="AQ192" s="496"/>
      <c r="AR192" s="496"/>
      <c r="AS192" s="496"/>
      <c r="AT192" s="496"/>
      <c r="AU192" s="496"/>
      <c r="AV192" s="718"/>
      <c r="AW192" s="718"/>
      <c r="AX192" s="718"/>
      <c r="AY192" s="718"/>
      <c r="AZ192" s="718"/>
      <c r="BA192" s="718"/>
      <c r="BB192" s="718"/>
      <c r="BC192" s="718"/>
      <c r="BD192" s="718"/>
      <c r="BE192" s="718"/>
      <c r="BF192" s="718"/>
      <c r="BG192" s="718"/>
      <c r="BH192" s="720"/>
      <c r="BI192" s="720"/>
      <c r="BJ192" s="720"/>
      <c r="BK192" s="720"/>
      <c r="BL192" s="720"/>
      <c r="BM192" s="720"/>
      <c r="BN192" s="720">
        <v>0</v>
      </c>
      <c r="BO192" s="720"/>
      <c r="BP192" s="720" t="s">
        <v>91</v>
      </c>
      <c r="BQ192" s="720" t="s">
        <v>146</v>
      </c>
      <c r="BR192" s="720" t="s">
        <v>94</v>
      </c>
      <c r="BS192" s="720"/>
      <c r="BT192" s="496"/>
      <c r="BU192" s="496"/>
      <c r="BV192" s="496"/>
      <c r="BW192" s="496"/>
      <c r="BX192" s="496"/>
      <c r="BY192" s="496"/>
      <c r="BZ192" s="496"/>
      <c r="CA192" s="496"/>
    </row>
    <row r="193" spans="7:79">
      <c r="G193" s="496"/>
      <c r="H193" s="496"/>
      <c r="I193" s="496"/>
      <c r="J193" s="496"/>
      <c r="K193" s="496"/>
      <c r="L193" s="496"/>
      <c r="M193" s="496"/>
      <c r="N193" s="496"/>
      <c r="O193" s="496"/>
      <c r="P193" s="496"/>
      <c r="Q193" s="496"/>
      <c r="R193" s="496"/>
      <c r="S193" s="496"/>
      <c r="T193" s="496"/>
      <c r="U193" s="496"/>
      <c r="V193" s="496"/>
      <c r="W193" s="496"/>
      <c r="X193" s="496"/>
      <c r="Y193" s="496"/>
      <c r="Z193" s="496"/>
      <c r="AA193" s="496"/>
      <c r="AB193" s="496"/>
      <c r="AC193" s="496"/>
      <c r="AD193" s="496"/>
      <c r="AE193" s="496"/>
      <c r="AF193" s="496"/>
      <c r="AG193" s="496"/>
      <c r="AH193" s="496"/>
      <c r="AI193" s="496"/>
      <c r="AJ193" s="496"/>
      <c r="AK193" s="496"/>
      <c r="AL193" s="496"/>
      <c r="AM193" s="496"/>
      <c r="AN193" s="496"/>
      <c r="AO193" s="496"/>
      <c r="AP193" s="496"/>
      <c r="AQ193" s="496"/>
      <c r="AR193" s="496"/>
      <c r="AS193" s="496"/>
      <c r="AT193" s="496"/>
      <c r="AU193" s="496"/>
      <c r="AV193" s="718"/>
      <c r="AW193" s="718"/>
      <c r="AX193" s="718"/>
      <c r="AY193" s="718"/>
      <c r="AZ193" s="718"/>
      <c r="BA193" s="718"/>
      <c r="BB193" s="718"/>
      <c r="BC193" s="718"/>
      <c r="BD193" s="718"/>
      <c r="BE193" s="718"/>
      <c r="BF193" s="718"/>
      <c r="BG193" s="718"/>
      <c r="BH193" s="720"/>
      <c r="BI193" s="720"/>
      <c r="BJ193" s="720"/>
      <c r="BK193" s="720"/>
      <c r="BL193" s="720"/>
      <c r="BM193" s="720"/>
      <c r="BN193" s="720">
        <v>20</v>
      </c>
      <c r="BO193" s="720" t="s">
        <v>17</v>
      </c>
      <c r="BP193" s="720">
        <v>1.6800000000000002</v>
      </c>
      <c r="BQ193" s="720">
        <v>1.6720000000000002</v>
      </c>
      <c r="BR193" s="720">
        <v>1.6560000000000001</v>
      </c>
      <c r="BS193" s="720"/>
      <c r="BT193" s="496"/>
      <c r="BU193" s="496"/>
      <c r="BV193" s="496"/>
      <c r="BW193" s="496"/>
      <c r="BX193" s="496"/>
      <c r="BY193" s="496"/>
      <c r="BZ193" s="496"/>
      <c r="CA193" s="496"/>
    </row>
    <row r="194" spans="7:79">
      <c r="G194" s="496"/>
      <c r="H194" s="496"/>
      <c r="I194" s="496"/>
      <c r="J194" s="496"/>
      <c r="K194" s="496"/>
      <c r="L194" s="496"/>
      <c r="M194" s="496"/>
      <c r="N194" s="496"/>
      <c r="O194" s="496"/>
      <c r="P194" s="496"/>
      <c r="Q194" s="496"/>
      <c r="R194" s="496"/>
      <c r="S194" s="496"/>
      <c r="T194" s="496"/>
      <c r="U194" s="496"/>
      <c r="V194" s="496"/>
      <c r="W194" s="496"/>
      <c r="X194" s="496"/>
      <c r="Y194" s="496"/>
      <c r="Z194" s="496"/>
      <c r="AA194" s="496"/>
      <c r="AB194" s="496"/>
      <c r="AC194" s="496"/>
      <c r="AD194" s="496"/>
      <c r="AE194" s="496"/>
      <c r="AF194" s="496"/>
      <c r="AG194" s="496"/>
      <c r="AH194" s="496"/>
      <c r="AI194" s="496"/>
      <c r="AJ194" s="496"/>
      <c r="AK194" s="496"/>
      <c r="AL194" s="496"/>
      <c r="AM194" s="496"/>
      <c r="AN194" s="496"/>
      <c r="AO194" s="496"/>
      <c r="AP194" s="496"/>
      <c r="AQ194" s="496"/>
      <c r="AR194" s="496"/>
      <c r="AS194" s="496"/>
      <c r="AT194" s="496"/>
      <c r="AU194" s="496"/>
      <c r="AV194" s="718"/>
      <c r="AW194" s="718"/>
      <c r="AX194" s="718"/>
      <c r="AY194" s="718"/>
      <c r="AZ194" s="718"/>
      <c r="BA194" s="718"/>
      <c r="BB194" s="718"/>
      <c r="BC194" s="718"/>
      <c r="BD194" s="718"/>
      <c r="BE194" s="718"/>
      <c r="BF194" s="718"/>
      <c r="BG194" s="718"/>
      <c r="BH194" s="720"/>
      <c r="BI194" s="720"/>
      <c r="BJ194" s="720"/>
      <c r="BK194" s="720"/>
      <c r="BL194" s="720"/>
      <c r="BM194" s="720"/>
      <c r="BN194" s="720">
        <v>25</v>
      </c>
      <c r="BO194" s="720" t="s">
        <v>170</v>
      </c>
      <c r="BP194" s="720">
        <v>1.722</v>
      </c>
      <c r="BQ194" s="720">
        <v>1.714</v>
      </c>
      <c r="BR194" s="720">
        <v>1.6970000000000001</v>
      </c>
      <c r="BS194" s="720"/>
      <c r="BT194" s="496"/>
      <c r="BU194" s="496"/>
      <c r="BV194" s="496"/>
      <c r="BW194" s="496"/>
      <c r="BX194" s="496"/>
      <c r="BY194" s="496"/>
      <c r="BZ194" s="496"/>
      <c r="CA194" s="496"/>
    </row>
    <row r="195" spans="7:79">
      <c r="G195" s="496"/>
      <c r="H195" s="496"/>
      <c r="I195" s="496"/>
      <c r="J195" s="496"/>
      <c r="K195" s="496"/>
      <c r="L195" s="496"/>
      <c r="M195" s="496"/>
      <c r="N195" s="496"/>
      <c r="O195" s="496"/>
      <c r="P195" s="496"/>
      <c r="Q195" s="496"/>
      <c r="R195" s="496"/>
      <c r="S195" s="496"/>
      <c r="T195" s="496"/>
      <c r="U195" s="496"/>
      <c r="V195" s="496"/>
      <c r="W195" s="496"/>
      <c r="X195" s="496"/>
      <c r="Y195" s="496"/>
      <c r="Z195" s="496"/>
      <c r="AA195" s="496"/>
      <c r="AB195" s="496"/>
      <c r="AC195" s="496"/>
      <c r="AD195" s="496"/>
      <c r="AE195" s="496"/>
      <c r="AF195" s="496"/>
      <c r="AG195" s="496"/>
      <c r="AH195" s="496"/>
      <c r="AI195" s="496"/>
      <c r="AJ195" s="496"/>
      <c r="AK195" s="496"/>
      <c r="AL195" s="496"/>
      <c r="AM195" s="496"/>
      <c r="AN195" s="496"/>
      <c r="AO195" s="496"/>
      <c r="AP195" s="496"/>
      <c r="AQ195" s="496"/>
      <c r="AR195" s="496"/>
      <c r="AS195" s="496"/>
      <c r="AT195" s="496"/>
      <c r="AU195" s="496"/>
      <c r="AV195" s="718"/>
      <c r="AW195" s="718"/>
      <c r="AX195" s="718"/>
      <c r="AY195" s="718"/>
      <c r="AZ195" s="718"/>
      <c r="BA195" s="718"/>
      <c r="BB195" s="718"/>
      <c r="BC195" s="718"/>
      <c r="BD195" s="718"/>
      <c r="BE195" s="718"/>
      <c r="BF195" s="718"/>
      <c r="BG195" s="718"/>
      <c r="BH195" s="720"/>
      <c r="BI195" s="720"/>
      <c r="BJ195" s="720"/>
      <c r="BK195" s="720"/>
      <c r="BL195" s="720"/>
      <c r="BM195" s="720"/>
      <c r="BN195" s="720">
        <v>35</v>
      </c>
      <c r="BO195" s="720">
        <v>7.1</v>
      </c>
      <c r="BP195" s="720">
        <v>1.764</v>
      </c>
      <c r="BQ195" s="720">
        <v>1.756</v>
      </c>
      <c r="BR195" s="720">
        <v>1.7389999999999999</v>
      </c>
      <c r="BS195" s="720"/>
      <c r="BT195" s="496"/>
      <c r="BU195" s="496"/>
      <c r="BV195" s="496"/>
      <c r="BW195" s="496"/>
      <c r="BX195" s="496"/>
      <c r="BY195" s="496"/>
      <c r="BZ195" s="496"/>
      <c r="CA195" s="496"/>
    </row>
    <row r="196" spans="7:79">
      <c r="G196" s="496"/>
      <c r="H196" s="496"/>
      <c r="I196" s="496"/>
      <c r="J196" s="496"/>
      <c r="K196" s="496"/>
      <c r="L196" s="496"/>
      <c r="M196" s="496"/>
      <c r="N196" s="496"/>
      <c r="O196" s="496"/>
      <c r="P196" s="496"/>
      <c r="Q196" s="496"/>
      <c r="R196" s="496"/>
      <c r="S196" s="496"/>
      <c r="T196" s="496"/>
      <c r="U196" s="496"/>
      <c r="V196" s="496"/>
      <c r="W196" s="496"/>
      <c r="X196" s="496"/>
      <c r="Y196" s="496"/>
      <c r="Z196" s="496"/>
      <c r="AA196" s="496"/>
      <c r="AB196" s="496"/>
      <c r="AC196" s="496"/>
      <c r="AD196" s="496"/>
      <c r="AE196" s="496"/>
      <c r="AF196" s="496"/>
      <c r="AG196" s="496"/>
      <c r="AH196" s="496"/>
      <c r="AI196" s="496"/>
      <c r="AJ196" s="496"/>
      <c r="AK196" s="496"/>
      <c r="AL196" s="496"/>
      <c r="AM196" s="496"/>
      <c r="AN196" s="496"/>
      <c r="AO196" s="496"/>
      <c r="AP196" s="496"/>
      <c r="AQ196" s="496"/>
      <c r="AR196" s="496"/>
      <c r="AS196" s="496"/>
      <c r="AT196" s="496"/>
      <c r="AU196" s="496"/>
      <c r="AV196" s="718"/>
      <c r="AW196" s="718"/>
      <c r="AX196" s="718"/>
      <c r="AY196" s="718"/>
      <c r="AZ196" s="718"/>
      <c r="BA196" s="718"/>
      <c r="BB196" s="718"/>
      <c r="BC196" s="718"/>
      <c r="BD196" s="718"/>
      <c r="BE196" s="718"/>
      <c r="BF196" s="718"/>
      <c r="BG196" s="718"/>
      <c r="BH196" s="720"/>
      <c r="BI196" s="720"/>
      <c r="BJ196" s="720"/>
      <c r="BK196" s="720"/>
      <c r="BL196" s="720"/>
      <c r="BM196" s="720"/>
      <c r="BN196" s="720">
        <v>45</v>
      </c>
      <c r="BO196" s="720"/>
      <c r="BP196" s="720"/>
      <c r="BQ196" s="720"/>
      <c r="BR196" s="720"/>
      <c r="BS196" s="721"/>
      <c r="BT196" s="496"/>
      <c r="BU196" s="496"/>
      <c r="BV196" s="496"/>
      <c r="BW196" s="496"/>
      <c r="BX196" s="496"/>
      <c r="BY196" s="496"/>
      <c r="BZ196" s="496"/>
      <c r="CA196" s="496"/>
    </row>
    <row r="197" spans="7:79">
      <c r="G197" s="496"/>
      <c r="H197" s="496"/>
      <c r="I197" s="496"/>
      <c r="J197" s="496"/>
      <c r="K197" s="496"/>
      <c r="L197" s="496"/>
      <c r="M197" s="496"/>
      <c r="N197" s="496"/>
      <c r="O197" s="496"/>
      <c r="P197" s="496"/>
      <c r="Q197" s="496"/>
      <c r="R197" s="496"/>
      <c r="S197" s="496"/>
      <c r="T197" s="496"/>
      <c r="U197" s="496"/>
      <c r="V197" s="496"/>
      <c r="W197" s="496"/>
      <c r="X197" s="496"/>
      <c r="Y197" s="496"/>
      <c r="Z197" s="496"/>
      <c r="AA197" s="496"/>
      <c r="AB197" s="496"/>
      <c r="AC197" s="496"/>
      <c r="AD197" s="496"/>
      <c r="AE197" s="496"/>
      <c r="AF197" s="496"/>
      <c r="AG197" s="496"/>
      <c r="AH197" s="496"/>
      <c r="AI197" s="496"/>
      <c r="AJ197" s="496"/>
      <c r="AK197" s="496"/>
      <c r="AL197" s="496"/>
      <c r="AM197" s="496"/>
      <c r="AN197" s="496"/>
      <c r="AO197" s="496"/>
      <c r="AP197" s="496"/>
      <c r="AQ197" s="496"/>
      <c r="AR197" s="496"/>
      <c r="AS197" s="496"/>
      <c r="AT197" s="496"/>
      <c r="AU197" s="496"/>
      <c r="AV197" s="718"/>
      <c r="AW197" s="718"/>
      <c r="AX197" s="718"/>
      <c r="AY197" s="718"/>
      <c r="AZ197" s="718"/>
      <c r="BA197" s="718"/>
      <c r="BB197" s="718"/>
      <c r="BC197" s="718"/>
      <c r="BD197" s="718"/>
      <c r="BE197" s="718"/>
      <c r="BF197" s="718"/>
      <c r="BG197" s="718"/>
      <c r="BH197" s="720"/>
      <c r="BI197" s="720"/>
      <c r="BJ197" s="720"/>
      <c r="BK197" s="720"/>
      <c r="BL197" s="720"/>
      <c r="BM197" s="720"/>
      <c r="BN197" s="720">
        <v>50</v>
      </c>
      <c r="BO197" s="720"/>
      <c r="BP197" s="720"/>
      <c r="BQ197" s="720"/>
      <c r="BR197" s="720"/>
      <c r="BS197" s="721"/>
      <c r="BT197" s="496"/>
      <c r="BU197" s="496"/>
      <c r="BV197" s="496"/>
      <c r="BW197" s="496"/>
      <c r="BX197" s="496"/>
      <c r="BY197" s="496"/>
      <c r="BZ197" s="496"/>
      <c r="CA197" s="496"/>
    </row>
    <row r="198" spans="7:79">
      <c r="G198" s="496"/>
      <c r="H198" s="496"/>
      <c r="I198" s="496"/>
      <c r="J198" s="496"/>
      <c r="K198" s="496"/>
      <c r="L198" s="496"/>
      <c r="M198" s="496"/>
      <c r="N198" s="496"/>
      <c r="O198" s="496"/>
      <c r="P198" s="496"/>
      <c r="Q198" s="496"/>
      <c r="R198" s="496"/>
      <c r="S198" s="496"/>
      <c r="T198" s="496"/>
      <c r="U198" s="496"/>
      <c r="V198" s="496"/>
      <c r="W198" s="496"/>
      <c r="X198" s="496"/>
      <c r="Y198" s="496"/>
      <c r="Z198" s="496"/>
      <c r="AA198" s="496"/>
      <c r="AB198" s="496"/>
      <c r="AC198" s="496"/>
      <c r="AD198" s="496"/>
      <c r="AE198" s="496"/>
      <c r="AF198" s="496"/>
      <c r="AG198" s="496"/>
      <c r="AH198" s="496"/>
      <c r="AI198" s="496"/>
      <c r="AJ198" s="496"/>
      <c r="AK198" s="496"/>
      <c r="AL198" s="496"/>
      <c r="AM198" s="496"/>
      <c r="AN198" s="496"/>
      <c r="AO198" s="496"/>
      <c r="AP198" s="496"/>
      <c r="AQ198" s="496"/>
      <c r="AR198" s="496"/>
      <c r="AS198" s="496"/>
      <c r="AT198" s="496"/>
      <c r="AU198" s="496"/>
      <c r="AV198" s="718"/>
      <c r="AW198" s="718"/>
      <c r="AX198" s="718"/>
      <c r="AY198" s="718"/>
      <c r="AZ198" s="718"/>
      <c r="BA198" s="718"/>
      <c r="BB198" s="718"/>
      <c r="BC198" s="718"/>
      <c r="BD198" s="718"/>
      <c r="BE198" s="718"/>
      <c r="BF198" s="718"/>
      <c r="BG198" s="718"/>
      <c r="BH198" s="720"/>
      <c r="BI198" s="720"/>
      <c r="BJ198" s="720"/>
      <c r="BK198" s="720"/>
      <c r="BL198" s="720"/>
      <c r="BM198" s="720"/>
      <c r="BN198" s="720"/>
      <c r="BO198" s="720"/>
      <c r="BP198" s="720"/>
      <c r="BQ198" s="720"/>
      <c r="BR198" s="720"/>
      <c r="BS198" s="721"/>
      <c r="BT198" s="496"/>
      <c r="BU198" s="496"/>
      <c r="BV198" s="496"/>
      <c r="BW198" s="496"/>
      <c r="BX198" s="496"/>
      <c r="BY198" s="496"/>
      <c r="BZ198" s="496"/>
      <c r="CA198" s="496"/>
    </row>
    <row r="199" spans="7:79">
      <c r="G199" s="496"/>
      <c r="H199" s="496"/>
      <c r="I199" s="496"/>
      <c r="J199" s="496"/>
      <c r="K199" s="496"/>
      <c r="L199" s="496"/>
      <c r="M199" s="496"/>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6"/>
      <c r="AJ199" s="496"/>
      <c r="AK199" s="496"/>
      <c r="AL199" s="496"/>
      <c r="AM199" s="496"/>
      <c r="AN199" s="496"/>
      <c r="AO199" s="496"/>
      <c r="AP199" s="496"/>
      <c r="AQ199" s="496"/>
      <c r="AR199" s="496"/>
      <c r="AS199" s="496"/>
      <c r="AT199" s="496"/>
      <c r="AU199" s="496"/>
      <c r="AV199" s="718"/>
      <c r="AW199" s="718"/>
      <c r="AX199" s="718"/>
      <c r="AY199" s="718"/>
      <c r="AZ199" s="718"/>
      <c r="BA199" s="718"/>
      <c r="BB199" s="718"/>
      <c r="BC199" s="718"/>
      <c r="BD199" s="718"/>
      <c r="BE199" s="718"/>
      <c r="BF199" s="718"/>
      <c r="BG199" s="718"/>
      <c r="BH199" s="720"/>
      <c r="BI199" s="720" t="s">
        <v>171</v>
      </c>
      <c r="BJ199" s="722" t="s">
        <v>172</v>
      </c>
      <c r="BK199" s="722" t="s">
        <v>173</v>
      </c>
      <c r="BL199" s="722" t="s">
        <v>174</v>
      </c>
      <c r="BM199" s="723"/>
      <c r="BN199" s="720"/>
      <c r="BO199" s="1043" t="s">
        <v>175</v>
      </c>
      <c r="BP199" s="1043"/>
      <c r="BQ199" s="1043"/>
      <c r="BR199" s="1043"/>
      <c r="BS199" s="721"/>
      <c r="BT199" s="496"/>
      <c r="BU199" s="496"/>
      <c r="BV199" s="496"/>
      <c r="BW199" s="496"/>
      <c r="BX199" s="496"/>
      <c r="BY199" s="496"/>
      <c r="BZ199" s="496"/>
      <c r="CA199" s="496"/>
    </row>
    <row r="200" spans="7:79">
      <c r="G200" s="496"/>
      <c r="H200" s="496"/>
      <c r="I200" s="496"/>
      <c r="J200" s="496"/>
      <c r="K200" s="496"/>
      <c r="L200" s="496"/>
      <c r="M200" s="496"/>
      <c r="N200" s="496"/>
      <c r="O200" s="496"/>
      <c r="P200" s="496"/>
      <c r="Q200" s="496"/>
      <c r="R200" s="496"/>
      <c r="S200" s="496"/>
      <c r="T200" s="496"/>
      <c r="U200" s="496"/>
      <c r="V200" s="496"/>
      <c r="W200" s="496"/>
      <c r="X200" s="496"/>
      <c r="Y200" s="496"/>
      <c r="Z200" s="496"/>
      <c r="AA200" s="496"/>
      <c r="AB200" s="496"/>
      <c r="AC200" s="496"/>
      <c r="AD200" s="496"/>
      <c r="AE200" s="496"/>
      <c r="AF200" s="496"/>
      <c r="AG200" s="496"/>
      <c r="AH200" s="496"/>
      <c r="AI200" s="496"/>
      <c r="AJ200" s="496"/>
      <c r="AK200" s="496"/>
      <c r="AL200" s="496"/>
      <c r="AM200" s="496"/>
      <c r="AN200" s="496"/>
      <c r="AO200" s="496"/>
      <c r="AP200" s="496"/>
      <c r="AQ200" s="496"/>
      <c r="AR200" s="496"/>
      <c r="AS200" s="496"/>
      <c r="AT200" s="496"/>
      <c r="AU200" s="496"/>
      <c r="AV200" s="718"/>
      <c r="AW200" s="718"/>
      <c r="AX200" s="718"/>
      <c r="AY200" s="718"/>
      <c r="AZ200" s="718"/>
      <c r="BA200" s="718"/>
      <c r="BB200" s="718"/>
      <c r="BC200" s="718"/>
      <c r="BD200" s="718"/>
      <c r="BE200" s="718"/>
      <c r="BF200" s="718"/>
      <c r="BG200" s="718"/>
      <c r="BH200" s="720"/>
      <c r="BI200" s="720" t="s">
        <v>14</v>
      </c>
      <c r="BJ200" s="720">
        <f>IF($B$5="&lt;5",$T$53,IF($B$5="5 to 7",$T$54,IF($B$5="&gt;7",$T$55,0)))</f>
        <v>0</v>
      </c>
      <c r="BK200" s="720" t="s">
        <v>46</v>
      </c>
      <c r="BL200" s="720" t="str">
        <f>IF($D$2="&lt;1000",$U$60,IF($D$2="1000-1500",$V$60,IF($D$2="&gt;1500",$W$60,0)))</f>
        <v>&lt;1000</v>
      </c>
      <c r="BM200" s="720"/>
      <c r="BN200" s="720"/>
      <c r="BO200" s="724"/>
      <c r="BP200" s="725" t="s">
        <v>91</v>
      </c>
      <c r="BQ200" s="725" t="s">
        <v>146</v>
      </c>
      <c r="BR200" s="725">
        <v>1500.1</v>
      </c>
      <c r="BS200" s="720"/>
      <c r="BT200" s="496"/>
      <c r="BU200" s="496"/>
      <c r="BV200" s="496"/>
      <c r="BW200" s="496"/>
      <c r="BX200" s="496"/>
      <c r="BY200" s="496"/>
      <c r="BZ200" s="496"/>
      <c r="CA200" s="496"/>
    </row>
    <row r="201" spans="7:79">
      <c r="G201" s="496"/>
      <c r="H201" s="496"/>
      <c r="I201" s="496"/>
      <c r="J201" s="496"/>
      <c r="K201" s="496"/>
      <c r="L201" s="496"/>
      <c r="M201" s="496"/>
      <c r="N201" s="496"/>
      <c r="O201" s="496"/>
      <c r="P201" s="496"/>
      <c r="Q201" s="496"/>
      <c r="R201" s="496"/>
      <c r="S201" s="496"/>
      <c r="T201" s="496"/>
      <c r="U201" s="496"/>
      <c r="V201" s="496"/>
      <c r="W201" s="496"/>
      <c r="X201" s="496"/>
      <c r="Y201" s="496"/>
      <c r="Z201" s="496"/>
      <c r="AA201" s="496"/>
      <c r="AB201" s="496"/>
      <c r="AC201" s="496"/>
      <c r="AD201" s="496"/>
      <c r="AE201" s="496"/>
      <c r="AF201" s="496"/>
      <c r="AG201" s="496"/>
      <c r="AH201" s="496"/>
      <c r="AI201" s="496"/>
      <c r="AJ201" s="496"/>
      <c r="AK201" s="496"/>
      <c r="AL201" s="496"/>
      <c r="AM201" s="496"/>
      <c r="AN201" s="496"/>
      <c r="AO201" s="496"/>
      <c r="AP201" s="496"/>
      <c r="AQ201" s="496"/>
      <c r="AR201" s="496"/>
      <c r="AS201" s="496"/>
      <c r="AT201" s="496"/>
      <c r="AU201" s="496"/>
      <c r="AV201" s="718"/>
      <c r="AW201" s="718"/>
      <c r="AX201" s="718"/>
      <c r="AY201" s="718"/>
      <c r="AZ201" s="718"/>
      <c r="BA201" s="718"/>
      <c r="BB201" s="718"/>
      <c r="BC201" s="718"/>
      <c r="BD201" s="718"/>
      <c r="BE201" s="718"/>
      <c r="BF201" s="718"/>
      <c r="BG201" s="718"/>
      <c r="BH201" s="720"/>
      <c r="BI201" s="720" t="s">
        <v>50</v>
      </c>
      <c r="BJ201" s="720"/>
      <c r="BK201" s="720" t="s">
        <v>11</v>
      </c>
      <c r="BL201" s="720"/>
      <c r="BM201" s="720"/>
      <c r="BN201" s="720"/>
      <c r="BO201" s="726" t="s">
        <v>17</v>
      </c>
      <c r="BP201" s="726">
        <v>3.1909999999999998</v>
      </c>
      <c r="BQ201" s="726">
        <v>3.351</v>
      </c>
      <c r="BR201" s="726">
        <v>3.51</v>
      </c>
      <c r="BS201" s="720"/>
      <c r="BT201" s="496"/>
      <c r="BU201" s="496"/>
      <c r="BV201" s="496"/>
      <c r="BW201" s="496"/>
      <c r="BX201" s="496"/>
      <c r="BY201" s="496"/>
      <c r="BZ201" s="496"/>
      <c r="CA201" s="496"/>
    </row>
    <row r="202" spans="7:79">
      <c r="G202" s="496"/>
      <c r="H202" s="496"/>
      <c r="I202" s="496"/>
      <c r="J202" s="496"/>
      <c r="K202" s="496"/>
      <c r="L202" s="496"/>
      <c r="M202" s="496"/>
      <c r="N202" s="496"/>
      <c r="O202" s="496"/>
      <c r="P202" s="496"/>
      <c r="Q202" s="496"/>
      <c r="R202" s="496"/>
      <c r="S202" s="496"/>
      <c r="T202" s="496"/>
      <c r="U202" s="496"/>
      <c r="V202" s="496"/>
      <c r="W202" s="496"/>
      <c r="X202" s="496"/>
      <c r="Y202" s="496"/>
      <c r="Z202" s="496"/>
      <c r="AA202" s="496"/>
      <c r="AB202" s="496"/>
      <c r="AC202" s="496"/>
      <c r="AD202" s="496"/>
      <c r="AE202" s="496"/>
      <c r="AF202" s="496"/>
      <c r="AG202" s="496"/>
      <c r="AH202" s="496"/>
      <c r="AI202" s="496"/>
      <c r="AJ202" s="496"/>
      <c r="AK202" s="496"/>
      <c r="AL202" s="496"/>
      <c r="AM202" s="496"/>
      <c r="AN202" s="496"/>
      <c r="AO202" s="496"/>
      <c r="AP202" s="496"/>
      <c r="AQ202" s="496"/>
      <c r="AR202" s="496"/>
      <c r="AS202" s="496"/>
      <c r="AT202" s="496"/>
      <c r="AU202" s="496"/>
      <c r="AV202" s="718"/>
      <c r="AW202" s="718"/>
      <c r="AX202" s="718"/>
      <c r="AY202" s="718"/>
      <c r="AZ202" s="718"/>
      <c r="BA202" s="718"/>
      <c r="BB202" s="718"/>
      <c r="BC202" s="718"/>
      <c r="BD202" s="718"/>
      <c r="BE202" s="718"/>
      <c r="BF202" s="718"/>
      <c r="BG202" s="718"/>
      <c r="BH202" s="720"/>
      <c r="BI202" s="720"/>
      <c r="BJ202" s="722" t="s">
        <v>38</v>
      </c>
      <c r="BK202" s="720"/>
      <c r="BL202" s="720"/>
      <c r="BM202" s="720"/>
      <c r="BN202" s="720"/>
      <c r="BO202" s="726" t="s">
        <v>170</v>
      </c>
      <c r="BP202" s="726">
        <v>3.2709999999999999</v>
      </c>
      <c r="BQ202" s="726">
        <v>3.4350000000000001</v>
      </c>
      <c r="BR202" s="726">
        <v>3.5979999999999999</v>
      </c>
      <c r="BS202" s="720"/>
      <c r="BT202" s="496"/>
      <c r="BU202" s="496"/>
      <c r="BV202" s="496"/>
      <c r="BW202" s="496"/>
      <c r="BX202" s="496"/>
      <c r="BY202" s="496"/>
      <c r="BZ202" s="496"/>
      <c r="CA202" s="496"/>
    </row>
    <row r="203" spans="7:79">
      <c r="G203" s="496"/>
      <c r="H203" s="496"/>
      <c r="I203" s="496"/>
      <c r="J203" s="496"/>
      <c r="K203" s="496"/>
      <c r="L203" s="496"/>
      <c r="M203" s="496"/>
      <c r="N203" s="496"/>
      <c r="O203" s="496"/>
      <c r="P203" s="496"/>
      <c r="Q203" s="496"/>
      <c r="R203" s="496"/>
      <c r="S203" s="496"/>
      <c r="T203" s="496"/>
      <c r="U203" s="496"/>
      <c r="V203" s="496"/>
      <c r="W203" s="496"/>
      <c r="X203" s="496"/>
      <c r="Y203" s="496"/>
      <c r="Z203" s="496"/>
      <c r="AA203" s="496"/>
      <c r="AB203" s="496"/>
      <c r="AC203" s="496"/>
      <c r="AD203" s="496"/>
      <c r="AE203" s="496"/>
      <c r="AF203" s="496"/>
      <c r="AG203" s="496"/>
      <c r="AH203" s="496"/>
      <c r="AI203" s="496"/>
      <c r="AJ203" s="496"/>
      <c r="AK203" s="496"/>
      <c r="AL203" s="496"/>
      <c r="AM203" s="496"/>
      <c r="AN203" s="496"/>
      <c r="AO203" s="496"/>
      <c r="AP203" s="496"/>
      <c r="AQ203" s="496"/>
      <c r="AR203" s="496"/>
      <c r="AS203" s="496"/>
      <c r="AT203" s="496"/>
      <c r="AU203" s="496"/>
      <c r="AV203" s="718"/>
      <c r="AW203" s="718"/>
      <c r="AX203" s="718"/>
      <c r="AY203" s="718"/>
      <c r="AZ203" s="718"/>
      <c r="BA203" s="718"/>
      <c r="BB203" s="718"/>
      <c r="BC203" s="718"/>
      <c r="BD203" s="718"/>
      <c r="BE203" s="718"/>
      <c r="BF203" s="718"/>
      <c r="BG203" s="718"/>
      <c r="BH203" s="720"/>
      <c r="BI203" s="720"/>
      <c r="BJ203" s="720" t="s">
        <v>11</v>
      </c>
      <c r="BK203" s="720" t="e">
        <f>IF($D$2="&lt;1000",VLOOKUP(BJ200,BO200:BR203,2),IF($D$2="1000-1500",VLOOKUP(BJ200,BO200:BR203,3),IF($D$2="&gt;1500",VLOOKUP(BJ200,BO200:BR203,4),0)))</f>
        <v>#N/A</v>
      </c>
      <c r="BL203" s="720"/>
      <c r="BM203" s="720"/>
      <c r="BN203" s="720"/>
      <c r="BO203" s="726">
        <v>7.1</v>
      </c>
      <c r="BP203" s="726">
        <v>3.351</v>
      </c>
      <c r="BQ203" s="726">
        <v>3.5190000000000001</v>
      </c>
      <c r="BR203" s="726">
        <v>3.6859999999999999</v>
      </c>
      <c r="BS203" s="720"/>
      <c r="BT203" s="496"/>
      <c r="BU203" s="496"/>
      <c r="BV203" s="496"/>
      <c r="BW203" s="496"/>
      <c r="BX203" s="496"/>
      <c r="BY203" s="496"/>
      <c r="BZ203" s="496"/>
      <c r="CA203" s="496"/>
    </row>
    <row r="204" spans="7:79">
      <c r="G204" s="496"/>
      <c r="H204" s="496"/>
      <c r="I204" s="496"/>
      <c r="J204" s="496"/>
      <c r="K204" s="496"/>
      <c r="L204" s="496"/>
      <c r="M204" s="496"/>
      <c r="N204" s="496"/>
      <c r="O204" s="496"/>
      <c r="P204" s="496"/>
      <c r="Q204" s="496"/>
      <c r="R204" s="496"/>
      <c r="S204" s="496"/>
      <c r="T204" s="496"/>
      <c r="U204" s="496"/>
      <c r="V204" s="496"/>
      <c r="W204" s="496"/>
      <c r="X204" s="496"/>
      <c r="Y204" s="496"/>
      <c r="Z204" s="496"/>
      <c r="AA204" s="496"/>
      <c r="AB204" s="496"/>
      <c r="AC204" s="496"/>
      <c r="AD204" s="496"/>
      <c r="AE204" s="496"/>
      <c r="AF204" s="496"/>
      <c r="AG204" s="496"/>
      <c r="AH204" s="496"/>
      <c r="AI204" s="496"/>
      <c r="AJ204" s="496"/>
      <c r="AK204" s="496"/>
      <c r="AL204" s="496"/>
      <c r="AM204" s="496"/>
      <c r="AN204" s="496"/>
      <c r="AO204" s="496"/>
      <c r="AP204" s="496"/>
      <c r="AQ204" s="496"/>
      <c r="AR204" s="496"/>
      <c r="AS204" s="496"/>
      <c r="AT204" s="496"/>
      <c r="AU204" s="496"/>
      <c r="AV204" s="718"/>
      <c r="AW204" s="718"/>
      <c r="AX204" s="718"/>
      <c r="AY204" s="718"/>
      <c r="AZ204" s="718"/>
      <c r="BA204" s="718"/>
      <c r="BB204" s="718"/>
      <c r="BC204" s="718"/>
      <c r="BD204" s="718"/>
      <c r="BE204" s="718"/>
      <c r="BF204" s="718"/>
      <c r="BG204" s="718"/>
      <c r="BH204" s="720"/>
      <c r="BI204" s="720"/>
      <c r="BJ204" s="720" t="s">
        <v>46</v>
      </c>
      <c r="BK204" s="720" t="e">
        <f>IF($D$2="&lt;1000",VLOOKUP(BJ200,BO207:BR210,2),IF($D$2="1000-1500",VLOOKUP(BJ200,BO207:BR210,3),IF($D$2="&gt;1500",VLOOKUP(BJ200,BO207:BR210,4),0)))</f>
        <v>#N/A</v>
      </c>
      <c r="BL204" s="720"/>
      <c r="BM204" s="720" t="s">
        <v>91</v>
      </c>
      <c r="BN204" s="720"/>
      <c r="BO204" s="726"/>
      <c r="BP204" s="720"/>
      <c r="BQ204" s="720"/>
      <c r="BR204" s="726"/>
      <c r="BS204" s="720"/>
      <c r="BT204" s="496"/>
      <c r="BU204" s="496"/>
      <c r="BV204" s="496"/>
      <c r="BW204" s="496"/>
      <c r="BX204" s="496"/>
      <c r="BY204" s="496"/>
      <c r="BZ204" s="496"/>
      <c r="CA204" s="496"/>
    </row>
    <row r="205" spans="7:79">
      <c r="G205" s="496"/>
      <c r="H205" s="496"/>
      <c r="I205" s="496"/>
      <c r="J205" s="496"/>
      <c r="K205" s="496"/>
      <c r="L205" s="496"/>
      <c r="M205" s="496"/>
      <c r="N205" s="496"/>
      <c r="O205" s="496"/>
      <c r="P205" s="496"/>
      <c r="Q205" s="496"/>
      <c r="R205" s="496"/>
      <c r="S205" s="496"/>
      <c r="T205" s="496"/>
      <c r="U205" s="496"/>
      <c r="V205" s="496"/>
      <c r="W205" s="496"/>
      <c r="X205" s="496"/>
      <c r="Y205" s="496"/>
      <c r="Z205" s="496"/>
      <c r="AA205" s="496"/>
      <c r="AB205" s="496"/>
      <c r="AC205" s="496"/>
      <c r="AD205" s="496"/>
      <c r="AE205" s="496"/>
      <c r="AF205" s="496"/>
      <c r="AG205" s="496"/>
      <c r="AH205" s="496"/>
      <c r="AI205" s="496"/>
      <c r="AJ205" s="496"/>
      <c r="AK205" s="496"/>
      <c r="AL205" s="496"/>
      <c r="AM205" s="496"/>
      <c r="AN205" s="496"/>
      <c r="AO205" s="496"/>
      <c r="AP205" s="496"/>
      <c r="AQ205" s="496"/>
      <c r="AR205" s="496"/>
      <c r="AS205" s="496"/>
      <c r="AT205" s="496"/>
      <c r="AU205" s="496"/>
      <c r="AV205" s="718"/>
      <c r="AW205" s="718"/>
      <c r="AX205" s="718"/>
      <c r="AY205" s="718"/>
      <c r="AZ205" s="718"/>
      <c r="BA205" s="718"/>
      <c r="BB205" s="718"/>
      <c r="BC205" s="718"/>
      <c r="BD205" s="718"/>
      <c r="BE205" s="718"/>
      <c r="BF205" s="718"/>
      <c r="BG205" s="718"/>
      <c r="BH205" s="720"/>
      <c r="BI205" s="720"/>
      <c r="BJ205" s="720" t="s">
        <v>568</v>
      </c>
      <c r="BK205" s="720" t="e">
        <f>IF(B3="Zone A",BK204,BK203)</f>
        <v>#N/A</v>
      </c>
      <c r="BL205" s="720"/>
      <c r="BM205" s="720" t="s">
        <v>146</v>
      </c>
      <c r="BN205" s="720"/>
      <c r="BO205" s="1043" t="s">
        <v>194</v>
      </c>
      <c r="BP205" s="1043"/>
      <c r="BQ205" s="1043"/>
      <c r="BR205" s="1043"/>
      <c r="BS205" s="720"/>
      <c r="BT205" s="496"/>
      <c r="BU205" s="496"/>
      <c r="BV205" s="496"/>
      <c r="BW205" s="496"/>
      <c r="BX205" s="496"/>
      <c r="BY205" s="496"/>
      <c r="BZ205" s="496"/>
      <c r="CA205" s="496"/>
    </row>
    <row r="206" spans="7:79">
      <c r="G206" s="496"/>
      <c r="H206" s="496"/>
      <c r="I206" s="496"/>
      <c r="J206" s="496"/>
      <c r="K206" s="496"/>
      <c r="L206" s="496"/>
      <c r="M206" s="496"/>
      <c r="N206" s="496"/>
      <c r="O206" s="496"/>
      <c r="P206" s="496"/>
      <c r="Q206" s="496"/>
      <c r="R206" s="496"/>
      <c r="S206" s="496"/>
      <c r="T206" s="496"/>
      <c r="U206" s="496"/>
      <c r="V206" s="496"/>
      <c r="W206" s="496"/>
      <c r="X206" s="496"/>
      <c r="Y206" s="496"/>
      <c r="Z206" s="496"/>
      <c r="AA206" s="496"/>
      <c r="AB206" s="496"/>
      <c r="AC206" s="496"/>
      <c r="AD206" s="496"/>
      <c r="AE206" s="496"/>
      <c r="AF206" s="496"/>
      <c r="AG206" s="496"/>
      <c r="AH206" s="496"/>
      <c r="AI206" s="496"/>
      <c r="AJ206" s="496"/>
      <c r="AK206" s="496"/>
      <c r="AL206" s="496"/>
      <c r="AM206" s="496"/>
      <c r="AN206" s="496"/>
      <c r="AO206" s="496"/>
      <c r="AP206" s="496"/>
      <c r="AQ206" s="496"/>
      <c r="AR206" s="496"/>
      <c r="AS206" s="496"/>
      <c r="AT206" s="496"/>
      <c r="AU206" s="496"/>
      <c r="AV206" s="718"/>
      <c r="AW206" s="718"/>
      <c r="AX206" s="718"/>
      <c r="AY206" s="718"/>
      <c r="AZ206" s="718"/>
      <c r="BA206" s="718"/>
      <c r="BB206" s="718"/>
      <c r="BC206" s="718"/>
      <c r="BD206" s="718"/>
      <c r="BE206" s="718"/>
      <c r="BF206" s="718"/>
      <c r="BG206" s="718"/>
      <c r="BH206" s="720"/>
      <c r="BI206" s="720"/>
      <c r="BJ206" s="720"/>
      <c r="BK206" s="720"/>
      <c r="BL206" s="720"/>
      <c r="BM206" s="720" t="s">
        <v>94</v>
      </c>
      <c r="BN206" s="720"/>
      <c r="BO206" s="726"/>
      <c r="BP206" s="720"/>
      <c r="BQ206" s="720"/>
      <c r="BR206" s="726"/>
      <c r="BS206" s="720"/>
      <c r="BT206" s="496"/>
      <c r="BU206" s="496"/>
      <c r="BV206" s="496"/>
      <c r="BW206" s="496"/>
      <c r="BX206" s="496"/>
      <c r="BY206" s="496"/>
      <c r="BZ206" s="496"/>
      <c r="CA206" s="496"/>
    </row>
    <row r="207" spans="7:79">
      <c r="G207" s="496"/>
      <c r="H207" s="496"/>
      <c r="I207" s="496"/>
      <c r="J207" s="496"/>
      <c r="K207" s="496"/>
      <c r="L207" s="496"/>
      <c r="M207" s="496"/>
      <c r="N207" s="496"/>
      <c r="O207" s="496"/>
      <c r="P207" s="496"/>
      <c r="Q207" s="496"/>
      <c r="R207" s="496"/>
      <c r="S207" s="496"/>
      <c r="T207" s="496"/>
      <c r="U207" s="496"/>
      <c r="V207" s="496"/>
      <c r="W207" s="496"/>
      <c r="X207" s="496"/>
      <c r="Y207" s="496"/>
      <c r="Z207" s="496"/>
      <c r="AA207" s="496"/>
      <c r="AB207" s="496"/>
      <c r="AC207" s="496"/>
      <c r="AD207" s="496"/>
      <c r="AE207" s="496"/>
      <c r="AF207" s="496"/>
      <c r="AG207" s="496"/>
      <c r="AH207" s="496"/>
      <c r="AI207" s="496"/>
      <c r="AJ207" s="496"/>
      <c r="AK207" s="496"/>
      <c r="AL207" s="496"/>
      <c r="AM207" s="496"/>
      <c r="AN207" s="496"/>
      <c r="AO207" s="496"/>
      <c r="AP207" s="496"/>
      <c r="AQ207" s="496"/>
      <c r="AR207" s="496"/>
      <c r="AS207" s="496"/>
      <c r="AT207" s="496"/>
      <c r="AU207" s="496"/>
      <c r="AV207" s="718"/>
      <c r="AW207" s="718"/>
      <c r="AX207" s="718"/>
      <c r="AY207" s="718"/>
      <c r="AZ207" s="718"/>
      <c r="BA207" s="718"/>
      <c r="BB207" s="718"/>
      <c r="BC207" s="718"/>
      <c r="BD207" s="718"/>
      <c r="BE207" s="718"/>
      <c r="BF207" s="718"/>
      <c r="BG207" s="718"/>
      <c r="BH207" s="720"/>
      <c r="BI207" s="720"/>
      <c r="BJ207" s="720"/>
      <c r="BK207" s="720"/>
      <c r="BL207" s="720"/>
      <c r="BM207" s="720"/>
      <c r="BN207" s="720"/>
      <c r="BO207" s="724"/>
      <c r="BP207" s="725" t="s">
        <v>91</v>
      </c>
      <c r="BQ207" s="725" t="s">
        <v>146</v>
      </c>
      <c r="BR207" s="725">
        <v>1500.1</v>
      </c>
      <c r="BS207" s="720"/>
      <c r="BT207" s="496"/>
      <c r="BU207" s="496"/>
      <c r="BV207" s="496"/>
      <c r="BW207" s="496"/>
      <c r="BX207" s="496"/>
      <c r="BY207" s="496"/>
      <c r="BZ207" s="496"/>
      <c r="CA207" s="496"/>
    </row>
    <row r="208" spans="7:79">
      <c r="G208" s="496"/>
      <c r="H208" s="496"/>
      <c r="I208" s="496"/>
      <c r="J208" s="496"/>
      <c r="K208" s="496"/>
      <c r="L208" s="496"/>
      <c r="M208" s="496"/>
      <c r="N208" s="496"/>
      <c r="O208" s="496"/>
      <c r="P208" s="496"/>
      <c r="Q208" s="496"/>
      <c r="R208" s="496"/>
      <c r="S208" s="496"/>
      <c r="T208" s="496"/>
      <c r="U208" s="496"/>
      <c r="V208" s="496"/>
      <c r="W208" s="496"/>
      <c r="X208" s="496"/>
      <c r="Y208" s="496"/>
      <c r="Z208" s="496"/>
      <c r="AA208" s="496"/>
      <c r="AB208" s="496"/>
      <c r="AC208" s="496"/>
      <c r="AD208" s="496"/>
      <c r="AE208" s="496"/>
      <c r="AF208" s="496"/>
      <c r="AG208" s="496"/>
      <c r="AH208" s="496"/>
      <c r="AI208" s="496"/>
      <c r="AJ208" s="496"/>
      <c r="AK208" s="496"/>
      <c r="AL208" s="496"/>
      <c r="AM208" s="496"/>
      <c r="AN208" s="496"/>
      <c r="AO208" s="496"/>
      <c r="AP208" s="496"/>
      <c r="AQ208" s="496"/>
      <c r="AR208" s="496"/>
      <c r="AS208" s="496"/>
      <c r="AT208" s="496"/>
      <c r="AU208" s="496"/>
      <c r="AV208" s="718"/>
      <c r="AW208" s="718"/>
      <c r="AX208" s="718"/>
      <c r="AY208" s="718"/>
      <c r="AZ208" s="718"/>
      <c r="BA208" s="718"/>
      <c r="BB208" s="718"/>
      <c r="BC208" s="718"/>
      <c r="BD208" s="718"/>
      <c r="BE208" s="718"/>
      <c r="BF208" s="718"/>
      <c r="BG208" s="718"/>
      <c r="BH208" s="720"/>
      <c r="BI208" s="720"/>
      <c r="BJ208" s="720"/>
      <c r="BK208" s="720"/>
      <c r="BL208" s="720"/>
      <c r="BM208" s="720"/>
      <c r="BN208" s="720"/>
      <c r="BO208" s="726" t="s">
        <v>17</v>
      </c>
      <c r="BP208" s="726">
        <v>3.2839999999999998</v>
      </c>
      <c r="BQ208" s="726">
        <v>3.448</v>
      </c>
      <c r="BR208" s="726">
        <v>3.6120000000000001</v>
      </c>
      <c r="BS208" s="720"/>
      <c r="BT208" s="496"/>
      <c r="BU208" s="496"/>
      <c r="BV208" s="496"/>
      <c r="BW208" s="496"/>
      <c r="BX208" s="496"/>
      <c r="BY208" s="496"/>
      <c r="BZ208" s="496"/>
      <c r="CA208" s="496"/>
    </row>
    <row r="209" spans="7:79">
      <c r="G209" s="496"/>
      <c r="H209" s="496"/>
      <c r="I209" s="496"/>
      <c r="J209" s="496"/>
      <c r="K209" s="496"/>
      <c r="L209" s="496"/>
      <c r="M209" s="496"/>
      <c r="N209" s="496"/>
      <c r="O209" s="496"/>
      <c r="P209" s="496"/>
      <c r="Q209" s="496"/>
      <c r="R209" s="496"/>
      <c r="S209" s="496"/>
      <c r="T209" s="496"/>
      <c r="U209" s="496"/>
      <c r="V209" s="496"/>
      <c r="W209" s="496"/>
      <c r="X209" s="496"/>
      <c r="Y209" s="496"/>
      <c r="Z209" s="496"/>
      <c r="AA209" s="496"/>
      <c r="AB209" s="496"/>
      <c r="AC209" s="496"/>
      <c r="AD209" s="496"/>
      <c r="AE209" s="496"/>
      <c r="AF209" s="496"/>
      <c r="AG209" s="496"/>
      <c r="AH209" s="496"/>
      <c r="AI209" s="496"/>
      <c r="AJ209" s="496"/>
      <c r="AK209" s="496"/>
      <c r="AL209" s="496"/>
      <c r="AM209" s="496"/>
      <c r="AN209" s="496"/>
      <c r="AO209" s="496"/>
      <c r="AP209" s="496"/>
      <c r="AQ209" s="496"/>
      <c r="AR209" s="496"/>
      <c r="AS209" s="496"/>
      <c r="AT209" s="496"/>
      <c r="AU209" s="496"/>
      <c r="AV209" s="718"/>
      <c r="AW209" s="718"/>
      <c r="AX209" s="718"/>
      <c r="AY209" s="718" t="str">
        <f>IF(B4="Package Policy","Age_Pack_Taxi","Age_Enh_Taxi")</f>
        <v>Age_Enh_Taxi</v>
      </c>
      <c r="AZ209" s="718" t="s">
        <v>567</v>
      </c>
      <c r="BA209" s="718" t="s">
        <v>566</v>
      </c>
      <c r="BB209" s="718"/>
      <c r="BC209" s="718"/>
      <c r="BD209" s="718"/>
      <c r="BE209" s="718"/>
      <c r="BF209" s="718"/>
      <c r="BG209" s="718"/>
      <c r="BH209" s="720"/>
      <c r="BI209" s="720"/>
      <c r="BJ209" s="720"/>
      <c r="BK209" s="720"/>
      <c r="BL209" s="720"/>
      <c r="BM209" s="720"/>
      <c r="BN209" s="720"/>
      <c r="BO209" s="726" t="s">
        <v>170</v>
      </c>
      <c r="BP209" s="726">
        <v>3.3660000000000001</v>
      </c>
      <c r="BQ209" s="726">
        <v>3.5339999999999998</v>
      </c>
      <c r="BR209" s="726">
        <v>3.7030000000000003</v>
      </c>
      <c r="BS209" s="720"/>
      <c r="BT209" s="496"/>
      <c r="BU209" s="496"/>
      <c r="BV209" s="496"/>
      <c r="BW209" s="496"/>
      <c r="BX209" s="496"/>
      <c r="BY209" s="496"/>
      <c r="BZ209" s="496"/>
      <c r="CA209" s="496"/>
    </row>
    <row r="210" spans="7:79">
      <c r="G210" s="496"/>
      <c r="H210" s="496"/>
      <c r="I210" s="496"/>
      <c r="J210" s="496"/>
      <c r="K210" s="496"/>
      <c r="L210" s="496"/>
      <c r="M210" s="496"/>
      <c r="N210" s="496"/>
      <c r="O210" s="496"/>
      <c r="P210" s="496"/>
      <c r="Q210" s="496"/>
      <c r="R210" s="496"/>
      <c r="S210" s="496"/>
      <c r="T210" s="496"/>
      <c r="U210" s="496"/>
      <c r="V210" s="496"/>
      <c r="W210" s="496"/>
      <c r="X210" s="496"/>
      <c r="Y210" s="496"/>
      <c r="Z210" s="496"/>
      <c r="AA210" s="496"/>
      <c r="AB210" s="496"/>
      <c r="AC210" s="496"/>
      <c r="AD210" s="496"/>
      <c r="AE210" s="496"/>
      <c r="AF210" s="496"/>
      <c r="AG210" s="496"/>
      <c r="AH210" s="496"/>
      <c r="AI210" s="496"/>
      <c r="AJ210" s="496"/>
      <c r="AK210" s="496"/>
      <c r="AL210" s="496"/>
      <c r="AM210" s="496"/>
      <c r="AN210" s="496"/>
      <c r="AO210" s="496"/>
      <c r="AP210" s="496"/>
      <c r="AQ210" s="496"/>
      <c r="AR210" s="496"/>
      <c r="AS210" s="496"/>
      <c r="AT210" s="496"/>
      <c r="AU210" s="496"/>
      <c r="AV210" s="718"/>
      <c r="AW210" s="718"/>
      <c r="AX210" s="718"/>
      <c r="AY210" s="718"/>
      <c r="AZ210" s="720" t="s">
        <v>17</v>
      </c>
      <c r="BA210" s="718" t="s">
        <v>201</v>
      </c>
      <c r="BB210" s="718"/>
      <c r="BC210" s="718"/>
      <c r="BD210" s="718"/>
      <c r="BE210" s="718"/>
      <c r="BF210" s="718"/>
      <c r="BG210" s="718"/>
      <c r="BH210" s="720"/>
      <c r="BI210" s="720"/>
      <c r="BJ210" s="720"/>
      <c r="BK210" s="720"/>
      <c r="BL210" s="720"/>
      <c r="BM210" s="720"/>
      <c r="BN210" s="720"/>
      <c r="BO210" s="726">
        <v>7.1</v>
      </c>
      <c r="BP210" s="726">
        <v>3.448</v>
      </c>
      <c r="BQ210" s="726">
        <v>3.62</v>
      </c>
      <c r="BR210" s="726">
        <v>3.7930000000000001</v>
      </c>
      <c r="BS210" s="720"/>
      <c r="BT210" s="496"/>
      <c r="BU210" s="496"/>
      <c r="BV210" s="496"/>
      <c r="BW210" s="496"/>
      <c r="BX210" s="496"/>
      <c r="BY210" s="496"/>
      <c r="BZ210" s="496"/>
      <c r="CA210" s="496"/>
    </row>
    <row r="211" spans="7:79">
      <c r="G211" s="496"/>
      <c r="H211" s="496"/>
      <c r="I211" s="496"/>
      <c r="J211" s="496"/>
      <c r="K211" s="496"/>
      <c r="L211" s="496"/>
      <c r="M211" s="496"/>
      <c r="N211" s="496"/>
      <c r="O211" s="496"/>
      <c r="P211" s="496"/>
      <c r="Q211" s="496"/>
      <c r="R211" s="496"/>
      <c r="S211" s="496"/>
      <c r="T211" s="496"/>
      <c r="U211" s="496"/>
      <c r="V211" s="496"/>
      <c r="W211" s="496"/>
      <c r="X211" s="496"/>
      <c r="Y211" s="496"/>
      <c r="Z211" s="496"/>
      <c r="AA211" s="496"/>
      <c r="AB211" s="496"/>
      <c r="AC211" s="496"/>
      <c r="AD211" s="496"/>
      <c r="AE211" s="496"/>
      <c r="AF211" s="496"/>
      <c r="AG211" s="496"/>
      <c r="AH211" s="496"/>
      <c r="AI211" s="496"/>
      <c r="AJ211" s="496"/>
      <c r="AK211" s="496"/>
      <c r="AL211" s="496"/>
      <c r="AM211" s="496"/>
      <c r="AN211" s="496"/>
      <c r="AO211" s="496"/>
      <c r="AP211" s="496"/>
      <c r="AQ211" s="496"/>
      <c r="AR211" s="496"/>
      <c r="AS211" s="496"/>
      <c r="AT211" s="496"/>
      <c r="AU211" s="496"/>
      <c r="AV211" s="718"/>
      <c r="AW211" s="718"/>
      <c r="AX211" s="718"/>
      <c r="AY211" s="718"/>
      <c r="AZ211" s="720" t="s">
        <v>170</v>
      </c>
      <c r="BA211" s="718" t="s">
        <v>336</v>
      </c>
      <c r="BB211" s="718"/>
      <c r="BC211" s="718"/>
      <c r="BD211" s="718"/>
      <c r="BE211" s="718"/>
      <c r="BF211" s="718"/>
      <c r="BG211" s="718"/>
      <c r="BH211" s="720"/>
      <c r="BI211" s="720"/>
      <c r="BJ211" s="720"/>
      <c r="BK211" s="720"/>
      <c r="BL211" s="720"/>
      <c r="BM211" s="720"/>
      <c r="BN211" s="720"/>
      <c r="BO211" s="720"/>
      <c r="BP211" s="720"/>
      <c r="BQ211" s="720"/>
      <c r="BR211" s="720"/>
      <c r="BS211" s="720"/>
      <c r="BT211" s="496"/>
      <c r="BU211" s="496"/>
      <c r="BV211" s="496"/>
      <c r="BW211" s="496"/>
      <c r="BX211" s="496"/>
      <c r="BY211" s="496"/>
      <c r="BZ211" s="496"/>
      <c r="CA211" s="496"/>
    </row>
    <row r="212" spans="7:79">
      <c r="G212" s="496"/>
      <c r="H212" s="496"/>
      <c r="I212" s="496"/>
      <c r="J212" s="496"/>
      <c r="K212" s="496"/>
      <c r="L212" s="496"/>
      <c r="M212" s="496"/>
      <c r="N212" s="496"/>
      <c r="O212" s="496"/>
      <c r="P212" s="496"/>
      <c r="Q212" s="496"/>
      <c r="R212" s="496"/>
      <c r="S212" s="496"/>
      <c r="T212" s="496"/>
      <c r="U212" s="496"/>
      <c r="V212" s="496"/>
      <c r="W212" s="496"/>
      <c r="X212" s="496"/>
      <c r="Y212" s="496"/>
      <c r="Z212" s="496"/>
      <c r="AA212" s="496"/>
      <c r="AB212" s="496"/>
      <c r="AC212" s="496"/>
      <c r="AD212" s="496"/>
      <c r="AE212" s="496"/>
      <c r="AF212" s="496"/>
      <c r="AG212" s="496"/>
      <c r="AH212" s="496"/>
      <c r="AI212" s="496"/>
      <c r="AJ212" s="496"/>
      <c r="AK212" s="496"/>
      <c r="AL212" s="496"/>
      <c r="AM212" s="496"/>
      <c r="AN212" s="496"/>
      <c r="AO212" s="496"/>
      <c r="AP212" s="496"/>
      <c r="AQ212" s="496"/>
      <c r="AR212" s="496"/>
      <c r="AS212" s="496"/>
      <c r="AT212" s="496"/>
      <c r="AU212" s="496"/>
      <c r="AV212" s="718"/>
      <c r="AW212" s="718"/>
      <c r="AX212" s="718"/>
      <c r="AY212" s="718"/>
      <c r="AZ212" s="720" t="s">
        <v>195</v>
      </c>
      <c r="BA212" s="718" t="s">
        <v>337</v>
      </c>
      <c r="BB212" s="718"/>
      <c r="BC212" s="718"/>
      <c r="BD212" s="718"/>
      <c r="BE212" s="718"/>
      <c r="BF212" s="718"/>
      <c r="BG212" s="718"/>
      <c r="BH212" s="718"/>
      <c r="BI212" s="718"/>
      <c r="BJ212" s="718"/>
      <c r="BK212" s="718"/>
      <c r="BL212" s="718"/>
      <c r="BM212" s="496"/>
      <c r="BN212" s="496"/>
      <c r="BO212" s="496"/>
      <c r="BP212" s="496"/>
      <c r="BQ212" s="496"/>
      <c r="BR212" s="496"/>
      <c r="BS212" s="496"/>
      <c r="BT212" s="496"/>
      <c r="BU212" s="496"/>
      <c r="BV212" s="496"/>
      <c r="BW212" s="496"/>
      <c r="BX212" s="496"/>
      <c r="BY212" s="496"/>
      <c r="BZ212" s="496"/>
      <c r="CA212" s="496"/>
    </row>
    <row r="213" spans="7:79">
      <c r="G213" s="496"/>
      <c r="H213" s="496"/>
      <c r="I213" s="496"/>
      <c r="J213" s="496"/>
      <c r="K213" s="496"/>
      <c r="L213" s="496"/>
      <c r="M213" s="496"/>
      <c r="N213" s="496"/>
      <c r="O213" s="496"/>
      <c r="P213" s="496"/>
      <c r="Q213" s="496"/>
      <c r="R213" s="496"/>
      <c r="S213" s="496"/>
      <c r="T213" s="496"/>
      <c r="U213" s="496"/>
      <c r="V213" s="496"/>
      <c r="W213" s="496"/>
      <c r="X213" s="496"/>
      <c r="Y213" s="496"/>
      <c r="Z213" s="496"/>
      <c r="AA213" s="496"/>
      <c r="AB213" s="496"/>
      <c r="AC213" s="496"/>
      <c r="AD213" s="496"/>
      <c r="AE213" s="496"/>
      <c r="AF213" s="496"/>
      <c r="AG213" s="496"/>
      <c r="AH213" s="496"/>
      <c r="AI213" s="496"/>
      <c r="AJ213" s="496"/>
      <c r="AK213" s="496"/>
      <c r="AL213" s="496"/>
      <c r="AM213" s="496"/>
      <c r="AN213" s="496"/>
      <c r="AO213" s="496"/>
      <c r="AP213" s="496"/>
      <c r="AQ213" s="496"/>
      <c r="AR213" s="496"/>
      <c r="AS213" s="496"/>
      <c r="AT213" s="496"/>
      <c r="AU213" s="496"/>
      <c r="AV213" s="718"/>
      <c r="AW213" s="718"/>
      <c r="AX213" s="718"/>
      <c r="AY213" s="718"/>
      <c r="AZ213" s="718"/>
      <c r="BA213" s="718" t="s">
        <v>338</v>
      </c>
      <c r="BB213" s="718"/>
      <c r="BC213" s="718"/>
      <c r="BD213" s="718"/>
      <c r="BE213" s="718"/>
      <c r="BF213" s="718"/>
      <c r="BG213" s="718"/>
      <c r="BH213" s="718"/>
      <c r="BI213" s="718"/>
      <c r="BJ213" s="718"/>
      <c r="BK213" s="718"/>
      <c r="BL213" s="718"/>
      <c r="BM213" s="496"/>
      <c r="BN213" s="496"/>
      <c r="BO213" s="496"/>
      <c r="BP213" s="496"/>
      <c r="BQ213" s="496"/>
      <c r="BR213" s="496"/>
      <c r="BS213" s="496"/>
      <c r="BT213" s="496"/>
      <c r="BU213" s="496"/>
      <c r="BV213" s="496"/>
      <c r="BW213" s="496"/>
      <c r="BX213" s="496"/>
      <c r="BY213" s="496"/>
      <c r="BZ213" s="496"/>
      <c r="CA213" s="496"/>
    </row>
    <row r="214" spans="7:79">
      <c r="G214" s="496"/>
      <c r="H214" s="496"/>
      <c r="I214" s="496"/>
      <c r="J214" s="496"/>
      <c r="K214" s="496"/>
      <c r="L214" s="496"/>
      <c r="M214" s="496"/>
      <c r="N214" s="496"/>
      <c r="O214" s="496"/>
      <c r="P214" s="496"/>
      <c r="Q214" s="496"/>
      <c r="R214" s="496"/>
      <c r="S214" s="496"/>
      <c r="T214" s="496"/>
      <c r="U214" s="496"/>
      <c r="V214" s="496"/>
      <c r="W214" s="496"/>
      <c r="X214" s="496"/>
      <c r="Y214" s="496"/>
      <c r="Z214" s="496"/>
      <c r="AA214" s="496"/>
      <c r="AB214" s="496"/>
      <c r="AC214" s="496"/>
      <c r="AD214" s="496"/>
      <c r="AE214" s="496"/>
      <c r="AF214" s="496"/>
      <c r="AG214" s="496"/>
      <c r="AH214" s="496"/>
      <c r="AI214" s="496"/>
      <c r="AJ214" s="496"/>
      <c r="AK214" s="496"/>
      <c r="AL214" s="496"/>
      <c r="AM214" s="496"/>
      <c r="AN214" s="496"/>
      <c r="AO214" s="496"/>
      <c r="AP214" s="496"/>
      <c r="AQ214" s="496"/>
      <c r="AR214" s="496"/>
      <c r="AS214" s="496"/>
      <c r="AT214" s="496"/>
      <c r="AU214" s="496"/>
      <c r="AV214" s="718"/>
      <c r="AW214" s="718"/>
      <c r="AX214" s="718"/>
      <c r="AY214" s="718"/>
      <c r="AZ214" s="718"/>
      <c r="BA214" s="718" t="s">
        <v>339</v>
      </c>
      <c r="BB214" s="718"/>
      <c r="BC214" s="718"/>
      <c r="BD214" s="718"/>
      <c r="BE214" s="718"/>
      <c r="BF214" s="718"/>
      <c r="BG214" s="718"/>
      <c r="BH214" s="718"/>
      <c r="BI214" s="718"/>
      <c r="BJ214" s="718"/>
      <c r="BK214" s="718"/>
      <c r="BL214" s="718"/>
      <c r="BM214" s="496"/>
      <c r="BN214" s="496"/>
      <c r="BO214" s="496"/>
      <c r="BP214" s="496"/>
      <c r="BQ214" s="496"/>
      <c r="BR214" s="496"/>
      <c r="BS214" s="496"/>
      <c r="BT214" s="496"/>
      <c r="BU214" s="496"/>
      <c r="BV214" s="496"/>
      <c r="BW214" s="496"/>
      <c r="BX214" s="496"/>
      <c r="BY214" s="496"/>
      <c r="BZ214" s="496"/>
      <c r="CA214" s="496"/>
    </row>
    <row r="215" spans="7:79">
      <c r="G215" s="496"/>
      <c r="H215" s="496"/>
      <c r="I215" s="496"/>
      <c r="J215" s="496"/>
      <c r="K215" s="496"/>
      <c r="L215" s="496"/>
      <c r="M215" s="496"/>
      <c r="N215" s="496"/>
      <c r="O215" s="496"/>
      <c r="P215" s="496"/>
      <c r="Q215" s="496"/>
      <c r="R215" s="496"/>
      <c r="S215" s="496"/>
      <c r="T215" s="496"/>
      <c r="U215" s="496"/>
      <c r="V215" s="496"/>
      <c r="W215" s="496"/>
      <c r="X215" s="496"/>
      <c r="Y215" s="496"/>
      <c r="Z215" s="496"/>
      <c r="AA215" s="496"/>
      <c r="AB215" s="496"/>
      <c r="AC215" s="496"/>
      <c r="AD215" s="496"/>
      <c r="AE215" s="496"/>
      <c r="AF215" s="496"/>
      <c r="AG215" s="496"/>
      <c r="AH215" s="496"/>
      <c r="AI215" s="496"/>
      <c r="AJ215" s="496"/>
      <c r="AK215" s="496"/>
      <c r="AL215" s="496"/>
      <c r="AM215" s="496"/>
      <c r="AN215" s="496"/>
      <c r="AO215" s="496"/>
      <c r="AP215" s="496"/>
      <c r="AQ215" s="496"/>
      <c r="AR215" s="496"/>
      <c r="AS215" s="496"/>
      <c r="AT215" s="496"/>
      <c r="AU215" s="496"/>
      <c r="AV215" s="718"/>
      <c r="AW215" s="718"/>
      <c r="AX215" s="718"/>
      <c r="AY215" s="718"/>
      <c r="AZ215" s="718"/>
      <c r="BA215" s="718"/>
      <c r="BB215" s="718"/>
      <c r="BC215" s="718"/>
      <c r="BD215" s="718"/>
      <c r="BE215" s="718"/>
      <c r="BF215" s="718"/>
      <c r="BG215" s="718"/>
      <c r="BH215" s="718"/>
      <c r="BI215" s="718"/>
      <c r="BJ215" s="718"/>
      <c r="BK215" s="718"/>
      <c r="BL215" s="718"/>
      <c r="BM215" s="496"/>
      <c r="BN215" s="496"/>
      <c r="BO215" s="496"/>
      <c r="BP215" s="496"/>
      <c r="BQ215" s="496"/>
      <c r="BR215" s="496"/>
      <c r="BS215" s="496"/>
      <c r="BT215" s="496"/>
      <c r="BU215" s="496"/>
      <c r="BV215" s="496"/>
      <c r="BW215" s="496"/>
      <c r="BX215" s="496"/>
      <c r="BY215" s="496"/>
      <c r="BZ215" s="496"/>
      <c r="CA215" s="496"/>
    </row>
    <row r="216" spans="7:79">
      <c r="G216" s="496"/>
      <c r="H216" s="496"/>
      <c r="I216" s="496"/>
      <c r="J216" s="496"/>
      <c r="K216" s="496"/>
      <c r="L216" s="496"/>
      <c r="M216" s="496"/>
      <c r="N216" s="496"/>
      <c r="O216" s="496"/>
      <c r="P216" s="496"/>
      <c r="Q216" s="496"/>
      <c r="R216" s="496"/>
      <c r="S216" s="496"/>
      <c r="T216" s="496"/>
      <c r="U216" s="496"/>
      <c r="V216" s="496"/>
      <c r="W216" s="496"/>
      <c r="X216" s="496"/>
      <c r="Y216" s="496"/>
      <c r="Z216" s="496"/>
      <c r="AA216" s="496"/>
      <c r="AB216" s="496"/>
      <c r="AC216" s="496"/>
      <c r="AD216" s="496"/>
      <c r="AE216" s="496"/>
      <c r="AF216" s="496"/>
      <c r="AG216" s="496"/>
      <c r="AH216" s="496"/>
      <c r="AI216" s="496"/>
      <c r="AJ216" s="496"/>
      <c r="AK216" s="496"/>
      <c r="AL216" s="496"/>
      <c r="AM216" s="496"/>
      <c r="AN216" s="496"/>
      <c r="AO216" s="496"/>
      <c r="AP216" s="496"/>
      <c r="AQ216" s="496"/>
      <c r="AR216" s="496"/>
      <c r="AS216" s="496"/>
      <c r="AT216" s="496"/>
      <c r="AU216" s="496"/>
      <c r="AV216" s="718"/>
      <c r="AW216" s="719"/>
      <c r="AX216" s="719"/>
      <c r="AY216" s="718" t="s">
        <v>203</v>
      </c>
      <c r="AZ216" s="718" t="s">
        <v>204</v>
      </c>
      <c r="BA216" s="718" t="s">
        <v>41</v>
      </c>
      <c r="BB216" s="718" t="s">
        <v>205</v>
      </c>
      <c r="BC216" s="718" t="s">
        <v>206</v>
      </c>
      <c r="BD216" s="718" t="s">
        <v>207</v>
      </c>
      <c r="BE216" s="718" t="s">
        <v>208</v>
      </c>
      <c r="BF216" s="718" t="s">
        <v>209</v>
      </c>
      <c r="BG216" s="718"/>
      <c r="BH216" s="718"/>
      <c r="BI216" s="718"/>
      <c r="BJ216" s="718"/>
      <c r="BK216" s="718"/>
      <c r="BL216" s="718"/>
      <c r="BM216" s="496"/>
      <c r="BN216" s="496"/>
      <c r="BO216" s="496"/>
      <c r="BP216" s="496"/>
      <c r="BQ216" s="496"/>
      <c r="BR216" s="496"/>
      <c r="BS216" s="496"/>
      <c r="BT216" s="496"/>
      <c r="BU216" s="496"/>
      <c r="BV216" s="496"/>
      <c r="BW216" s="496"/>
      <c r="BX216" s="496"/>
      <c r="BY216" s="496"/>
      <c r="BZ216" s="496"/>
      <c r="CA216" s="496"/>
    </row>
    <row r="217" spans="7:79">
      <c r="G217" s="496"/>
      <c r="H217" s="496"/>
      <c r="I217" s="496"/>
      <c r="J217" s="496"/>
      <c r="K217" s="496"/>
      <c r="L217" s="496"/>
      <c r="M217" s="496"/>
      <c r="N217" s="496"/>
      <c r="O217" s="496"/>
      <c r="P217" s="496"/>
      <c r="Q217" s="496"/>
      <c r="R217" s="496"/>
      <c r="S217" s="496"/>
      <c r="T217" s="496"/>
      <c r="U217" s="496"/>
      <c r="V217" s="496"/>
      <c r="W217" s="496"/>
      <c r="X217" s="496"/>
      <c r="Y217" s="496"/>
      <c r="Z217" s="496"/>
      <c r="AA217" s="496"/>
      <c r="AB217" s="496"/>
      <c r="AC217" s="496"/>
      <c r="AD217" s="496"/>
      <c r="AE217" s="496"/>
      <c r="AF217" s="496"/>
      <c r="AG217" s="496"/>
      <c r="AH217" s="496"/>
      <c r="AI217" s="496"/>
      <c r="AJ217" s="496"/>
      <c r="AK217" s="496"/>
      <c r="AL217" s="496"/>
      <c r="AM217" s="496"/>
      <c r="AN217" s="496"/>
      <c r="AO217" s="496"/>
      <c r="AP217" s="496"/>
      <c r="AQ217" s="496"/>
      <c r="AR217" s="496"/>
      <c r="AS217" s="496"/>
      <c r="AT217" s="496"/>
      <c r="AU217" s="496"/>
      <c r="AV217" s="718"/>
      <c r="AW217" s="719"/>
      <c r="AX217" s="719"/>
      <c r="AY217" s="718" t="str">
        <f>IF(OR(D2="&lt;1000",D2="1000-1500"),"&lt;=1500","&gt;1500")</f>
        <v>&lt;=1500</v>
      </c>
      <c r="AZ217" s="718" t="str">
        <f>IF(B5=BA210,BB216,IF(B5=BA211,BC216,IF(B5=BA212,BD216,IF(B5=BA213,BE216,IF(B5=BA214,BF216,0)))))</f>
        <v>&gt;1&lt;=2</v>
      </c>
      <c r="BA217" s="718" t="s">
        <v>210</v>
      </c>
      <c r="BB217" s="718">
        <v>0.44</v>
      </c>
      <c r="BC217" s="718">
        <v>0.78</v>
      </c>
      <c r="BD217" s="718">
        <v>0.99</v>
      </c>
      <c r="BE217" s="718">
        <v>1.45</v>
      </c>
      <c r="BF217" s="718">
        <v>1.83</v>
      </c>
      <c r="BG217" s="718"/>
      <c r="BH217" s="718"/>
      <c r="BI217" s="718"/>
      <c r="BJ217" s="718"/>
      <c r="BK217" s="718"/>
      <c r="BL217" s="718"/>
      <c r="BM217" s="496"/>
      <c r="BN217" s="496"/>
      <c r="BO217" s="496"/>
      <c r="BP217" s="496"/>
      <c r="BQ217" s="496"/>
      <c r="BR217" s="496"/>
      <c r="BS217" s="496"/>
      <c r="BT217" s="496"/>
      <c r="BU217" s="496"/>
      <c r="BV217" s="496"/>
      <c r="BW217" s="496"/>
      <c r="BX217" s="496"/>
      <c r="BY217" s="496"/>
      <c r="BZ217" s="496"/>
      <c r="CA217" s="496"/>
    </row>
    <row r="218" spans="7:79">
      <c r="G218" s="496"/>
      <c r="H218" s="496"/>
      <c r="I218" s="496"/>
      <c r="J218" s="496"/>
      <c r="K218" s="496"/>
      <c r="L218" s="496"/>
      <c r="M218" s="496"/>
      <c r="N218" s="496"/>
      <c r="O218" s="496"/>
      <c r="P218" s="496"/>
      <c r="Q218" s="496"/>
      <c r="R218" s="496"/>
      <c r="S218" s="496"/>
      <c r="T218" s="496"/>
      <c r="U218" s="496"/>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718"/>
      <c r="AW218" s="719"/>
      <c r="AX218" s="719"/>
      <c r="AY218" s="718"/>
      <c r="AZ218" s="718"/>
      <c r="BA218" s="718" t="s">
        <v>94</v>
      </c>
      <c r="BB218" s="718">
        <v>0.45</v>
      </c>
      <c r="BC218" s="718">
        <v>0.78</v>
      </c>
      <c r="BD218" s="718">
        <v>0.86</v>
      </c>
      <c r="BE218" s="718">
        <v>1.0900000000000001</v>
      </c>
      <c r="BF218" s="718">
        <v>1.51</v>
      </c>
      <c r="BG218" s="718"/>
      <c r="BH218" s="718"/>
      <c r="BI218" s="718"/>
      <c r="BJ218" s="718"/>
      <c r="BK218" s="718"/>
      <c r="BL218" s="718"/>
      <c r="BM218" s="496"/>
      <c r="BN218" s="496"/>
      <c r="BO218" s="496"/>
      <c r="BP218" s="496"/>
      <c r="BQ218" s="496"/>
      <c r="BR218" s="496"/>
      <c r="BS218" s="496"/>
      <c r="BT218" s="496"/>
      <c r="BU218" s="496"/>
      <c r="BV218" s="496"/>
      <c r="BW218" s="496"/>
      <c r="BX218" s="496"/>
      <c r="BY218" s="496"/>
      <c r="BZ218" s="496"/>
      <c r="CA218" s="496"/>
    </row>
    <row r="219" spans="7:79">
      <c r="G219" s="496"/>
      <c r="H219" s="496"/>
      <c r="I219" s="496"/>
      <c r="J219" s="496"/>
      <c r="K219" s="496"/>
      <c r="L219" s="496"/>
      <c r="M219" s="496"/>
      <c r="N219" s="496"/>
      <c r="O219" s="496"/>
      <c r="P219" s="496"/>
      <c r="Q219" s="496"/>
      <c r="R219" s="496"/>
      <c r="S219" s="496"/>
      <c r="T219" s="496"/>
      <c r="U219" s="496"/>
      <c r="V219" s="496"/>
      <c r="W219" s="496"/>
      <c r="X219" s="496"/>
      <c r="Y219" s="496"/>
      <c r="Z219" s="496"/>
      <c r="AA219" s="496"/>
      <c r="AB219" s="496"/>
      <c r="AC219" s="496"/>
      <c r="AD219" s="496"/>
      <c r="AE219" s="496"/>
      <c r="AF219" s="496"/>
      <c r="AG219" s="496"/>
      <c r="AH219" s="496"/>
      <c r="AI219" s="496"/>
      <c r="AJ219" s="496"/>
      <c r="AK219" s="496"/>
      <c r="AL219" s="496"/>
      <c r="AM219" s="496"/>
      <c r="AN219" s="496"/>
      <c r="AO219" s="496"/>
      <c r="AP219" s="496"/>
      <c r="AQ219" s="496"/>
      <c r="AR219" s="496"/>
      <c r="AS219" s="496"/>
      <c r="AT219" s="496"/>
      <c r="AU219" s="496"/>
      <c r="AV219" s="718"/>
      <c r="AW219" s="718"/>
      <c r="AX219" s="718"/>
      <c r="AY219" s="718"/>
      <c r="AZ219" s="718"/>
      <c r="BA219" s="718"/>
      <c r="BB219" s="718"/>
      <c r="BC219" s="718"/>
      <c r="BD219" s="718"/>
      <c r="BE219" s="718"/>
      <c r="BF219" s="718"/>
      <c r="BG219" s="718"/>
      <c r="BH219" s="718"/>
      <c r="BI219" s="718"/>
      <c r="BJ219" s="718"/>
      <c r="BK219" s="718"/>
      <c r="BL219" s="718"/>
      <c r="BM219" s="496"/>
      <c r="BN219" s="496"/>
      <c r="BO219" s="496"/>
      <c r="BP219" s="496"/>
      <c r="BQ219" s="496"/>
      <c r="BR219" s="496"/>
      <c r="BS219" s="496"/>
      <c r="BT219" s="496"/>
      <c r="BU219" s="496"/>
      <c r="BV219" s="496"/>
      <c r="BW219" s="496"/>
      <c r="BX219" s="496"/>
      <c r="BY219" s="496"/>
      <c r="BZ219" s="496"/>
      <c r="CA219" s="496"/>
    </row>
    <row r="220" spans="7:79">
      <c r="G220" s="496"/>
      <c r="H220" s="496"/>
      <c r="I220" s="496"/>
      <c r="J220" s="496"/>
      <c r="K220" s="496"/>
      <c r="L220" s="496"/>
      <c r="M220" s="496"/>
      <c r="N220" s="496"/>
      <c r="O220" s="496"/>
      <c r="P220" s="496"/>
      <c r="Q220" s="496"/>
      <c r="R220" s="496"/>
      <c r="S220" s="496"/>
      <c r="T220" s="496"/>
      <c r="U220" s="496"/>
      <c r="V220" s="496"/>
      <c r="W220" s="496"/>
      <c r="X220" s="496"/>
      <c r="Y220" s="496"/>
      <c r="Z220" s="496"/>
      <c r="AA220" s="496"/>
      <c r="AB220" s="496"/>
      <c r="AC220" s="496"/>
      <c r="AD220" s="496"/>
      <c r="AE220" s="496"/>
      <c r="AF220" s="496"/>
      <c r="AG220" s="496"/>
      <c r="AH220" s="496"/>
      <c r="AI220" s="496"/>
      <c r="AJ220" s="496"/>
      <c r="AK220" s="496"/>
      <c r="AL220" s="496"/>
      <c r="AM220" s="496"/>
      <c r="AN220" s="496"/>
      <c r="AO220" s="496"/>
      <c r="AP220" s="496"/>
      <c r="AQ220" s="496"/>
      <c r="AR220" s="496"/>
      <c r="AS220" s="496"/>
      <c r="AT220" s="496"/>
      <c r="AU220" s="496"/>
      <c r="AV220" s="718"/>
      <c r="AW220" s="718"/>
      <c r="AX220" s="718"/>
      <c r="AY220" s="718"/>
      <c r="AZ220" s="718"/>
      <c r="BA220" s="718"/>
      <c r="BB220" s="718"/>
      <c r="BC220" s="718"/>
      <c r="BD220" s="718"/>
      <c r="BE220" s="718"/>
      <c r="BF220" s="718"/>
      <c r="BG220" s="718"/>
      <c r="BH220" s="718"/>
      <c r="BI220" s="718"/>
      <c r="BJ220" s="718"/>
      <c r="BK220" s="718"/>
      <c r="BL220" s="718"/>
      <c r="BM220" s="496"/>
      <c r="BN220" s="496"/>
      <c r="BO220" s="496"/>
      <c r="BP220" s="496"/>
      <c r="BQ220" s="496"/>
      <c r="BR220" s="496"/>
      <c r="BS220" s="496"/>
      <c r="BT220" s="496"/>
      <c r="BU220" s="496"/>
      <c r="BV220" s="496"/>
      <c r="BW220" s="496"/>
      <c r="BX220" s="496"/>
      <c r="BY220" s="496"/>
      <c r="BZ220" s="496"/>
      <c r="CA220" s="496"/>
    </row>
    <row r="221" spans="7:79">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6"/>
      <c r="AJ221" s="496"/>
      <c r="AK221" s="496"/>
      <c r="AL221" s="496"/>
      <c r="AM221" s="496"/>
      <c r="AN221" s="496"/>
      <c r="AO221" s="496"/>
      <c r="AP221" s="496"/>
      <c r="AQ221" s="496"/>
      <c r="AR221" s="496"/>
      <c r="AS221" s="496"/>
      <c r="AT221" s="496"/>
      <c r="AU221" s="496"/>
      <c r="AV221" s="718"/>
      <c r="AW221" s="718"/>
      <c r="AX221" s="718"/>
      <c r="AY221" s="718"/>
      <c r="AZ221" s="718"/>
      <c r="BA221" s="718"/>
      <c r="BB221" s="718"/>
      <c r="BC221" s="718"/>
      <c r="BD221" s="718"/>
      <c r="BE221" s="718"/>
      <c r="BF221" s="718"/>
      <c r="BG221" s="718"/>
      <c r="BH221" s="718"/>
      <c r="BI221" s="718"/>
      <c r="BJ221" s="718"/>
      <c r="BK221" s="718"/>
      <c r="BL221" s="718"/>
      <c r="BM221" s="496"/>
      <c r="BN221" s="496"/>
      <c r="BO221" s="496"/>
      <c r="BP221" s="496"/>
      <c r="BQ221" s="496"/>
      <c r="BR221" s="496"/>
      <c r="BS221" s="496"/>
      <c r="BT221" s="496"/>
      <c r="BU221" s="496"/>
      <c r="BV221" s="496"/>
      <c r="BW221" s="496"/>
      <c r="BX221" s="496"/>
      <c r="BY221" s="496"/>
      <c r="BZ221" s="496"/>
      <c r="CA221" s="496"/>
    </row>
    <row r="222" spans="7:79">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6"/>
      <c r="AD222" s="496"/>
      <c r="AE222" s="496"/>
      <c r="AF222" s="496"/>
      <c r="AG222" s="496"/>
      <c r="AH222" s="496"/>
      <c r="AI222" s="496"/>
      <c r="AJ222" s="496"/>
      <c r="AK222" s="496"/>
      <c r="AL222" s="496"/>
      <c r="AM222" s="496"/>
      <c r="AN222" s="496"/>
      <c r="AO222" s="496"/>
      <c r="AP222" s="496"/>
      <c r="AQ222" s="496"/>
      <c r="AR222" s="496"/>
      <c r="AS222" s="496"/>
      <c r="AT222" s="496"/>
      <c r="AU222" s="496"/>
      <c r="AV222" s="718"/>
      <c r="AW222" s="718"/>
      <c r="AX222" s="718"/>
      <c r="AY222" s="718"/>
      <c r="AZ222" s="718"/>
      <c r="BA222" s="718"/>
      <c r="BB222" s="718"/>
      <c r="BC222" s="718"/>
      <c r="BD222" s="718"/>
      <c r="BE222" s="718"/>
      <c r="BF222" s="718"/>
      <c r="BG222" s="718"/>
      <c r="BH222" s="718"/>
      <c r="BI222" s="718"/>
      <c r="BJ222" s="718"/>
      <c r="BK222" s="718"/>
      <c r="BL222" s="718"/>
      <c r="BM222" s="496"/>
      <c r="BN222" s="496"/>
      <c r="BO222" s="496"/>
      <c r="BP222" s="496"/>
      <c r="BQ222" s="496"/>
      <c r="BR222" s="496"/>
      <c r="BS222" s="496"/>
      <c r="BT222" s="496"/>
      <c r="BU222" s="496"/>
      <c r="BV222" s="496"/>
      <c r="BW222" s="496"/>
      <c r="BX222" s="496"/>
      <c r="BY222" s="496"/>
      <c r="BZ222" s="496"/>
      <c r="CA222" s="496"/>
    </row>
    <row r="223" spans="7:79">
      <c r="G223" s="496"/>
      <c r="H223" s="496"/>
      <c r="I223" s="496"/>
      <c r="J223" s="496"/>
      <c r="K223" s="496"/>
      <c r="L223" s="496"/>
      <c r="M223" s="496"/>
      <c r="N223" s="496"/>
      <c r="O223" s="496"/>
      <c r="P223" s="496"/>
      <c r="Q223" s="496"/>
      <c r="R223" s="496"/>
      <c r="S223" s="496"/>
      <c r="T223" s="496"/>
      <c r="U223" s="496"/>
      <c r="V223" s="496"/>
      <c r="W223" s="496"/>
      <c r="X223" s="496"/>
      <c r="Y223" s="496"/>
      <c r="Z223" s="496"/>
      <c r="AA223" s="496"/>
      <c r="AB223" s="496"/>
      <c r="AC223" s="496"/>
      <c r="AD223" s="496"/>
      <c r="AE223" s="496"/>
      <c r="AF223" s="496"/>
      <c r="AG223" s="496"/>
      <c r="AH223" s="496"/>
      <c r="AI223" s="496"/>
      <c r="AJ223" s="496"/>
      <c r="AK223" s="496"/>
      <c r="AL223" s="496"/>
      <c r="AM223" s="496"/>
      <c r="AN223" s="496"/>
      <c r="AO223" s="496"/>
      <c r="AP223" s="496"/>
      <c r="AQ223" s="496"/>
      <c r="AR223" s="496"/>
      <c r="AS223" s="496"/>
      <c r="AT223" s="496"/>
      <c r="AU223" s="496"/>
      <c r="AV223" s="718"/>
      <c r="AW223" s="718"/>
      <c r="AX223" s="718" t="s">
        <v>23</v>
      </c>
      <c r="AY223" s="718"/>
      <c r="AZ223" s="718"/>
      <c r="BA223" s="718"/>
      <c r="BB223" s="718"/>
      <c r="BC223" s="718"/>
      <c r="BD223" s="718"/>
      <c r="BE223" s="718"/>
      <c r="BF223" s="718"/>
      <c r="BG223" s="718"/>
      <c r="BH223" s="718"/>
      <c r="BI223" s="718"/>
      <c r="BJ223" s="718"/>
      <c r="BK223" s="718"/>
      <c r="BL223" s="718"/>
      <c r="BM223" s="496"/>
      <c r="BN223" s="496"/>
      <c r="BO223" s="496"/>
      <c r="BP223" s="496"/>
      <c r="BQ223" s="496"/>
      <c r="BR223" s="496"/>
      <c r="BS223" s="496"/>
      <c r="BT223" s="496"/>
      <c r="BU223" s="496"/>
      <c r="BV223" s="496"/>
      <c r="BW223" s="496"/>
      <c r="BX223" s="496"/>
      <c r="BY223" s="496"/>
      <c r="BZ223" s="496"/>
      <c r="CA223" s="496"/>
    </row>
    <row r="224" spans="7:79">
      <c r="G224" s="496"/>
      <c r="H224" s="496"/>
      <c r="I224" s="496"/>
      <c r="J224" s="496"/>
      <c r="K224" s="496"/>
      <c r="L224" s="496"/>
      <c r="M224" s="496"/>
      <c r="N224" s="496"/>
      <c r="O224" s="496"/>
      <c r="P224" s="496"/>
      <c r="Q224" s="496"/>
      <c r="R224" s="496"/>
      <c r="S224" s="496"/>
      <c r="T224" s="496"/>
      <c r="U224" s="496"/>
      <c r="V224" s="496"/>
      <c r="W224" s="496"/>
      <c r="X224" s="496"/>
      <c r="Y224" s="496"/>
      <c r="Z224" s="496"/>
      <c r="AA224" s="496"/>
      <c r="AB224" s="496"/>
      <c r="AC224" s="496"/>
      <c r="AD224" s="496"/>
      <c r="AE224" s="496"/>
      <c r="AF224" s="496"/>
      <c r="AG224" s="496"/>
      <c r="AH224" s="496"/>
      <c r="AI224" s="496"/>
      <c r="AJ224" s="496"/>
      <c r="AK224" s="496"/>
      <c r="AL224" s="496"/>
      <c r="AM224" s="496"/>
      <c r="AN224" s="496"/>
      <c r="AO224" s="496"/>
      <c r="AP224" s="496"/>
      <c r="AQ224" s="496"/>
      <c r="AR224" s="496"/>
      <c r="AS224" s="496"/>
      <c r="AT224" s="496"/>
      <c r="AU224" s="496"/>
      <c r="AV224" s="718"/>
      <c r="AW224" s="718" t="s">
        <v>210</v>
      </c>
      <c r="AX224" s="718">
        <f>IF(AZ217=BB216,BB217,IF(AZ217=BC216,BC217,IF(AZ217=BD216,BD217,IF(AZ217=BE216,BE217,IF(AZ217=BF216,BF217,0)))))</f>
        <v>0.78</v>
      </c>
      <c r="AY224" s="718"/>
      <c r="AZ224" s="718"/>
      <c r="BA224" s="718"/>
      <c r="BB224" s="718"/>
      <c r="BC224" s="718"/>
      <c r="BD224" s="718"/>
      <c r="BE224" s="718"/>
      <c r="BF224" s="718"/>
      <c r="BG224" s="718"/>
      <c r="BH224" s="718"/>
      <c r="BI224" s="718"/>
      <c r="BJ224" s="718"/>
      <c r="BK224" s="718"/>
      <c r="BL224" s="718"/>
      <c r="BM224" s="496"/>
      <c r="BN224" s="496"/>
      <c r="BO224" s="496"/>
      <c r="BP224" s="496"/>
      <c r="BQ224" s="496"/>
      <c r="BR224" s="496"/>
      <c r="BS224" s="496"/>
      <c r="BT224" s="496"/>
      <c r="BU224" s="496"/>
      <c r="BV224" s="496"/>
      <c r="BW224" s="496"/>
      <c r="BX224" s="496"/>
      <c r="BY224" s="496"/>
      <c r="BZ224" s="496"/>
      <c r="CA224" s="496"/>
    </row>
    <row r="225" spans="7:79">
      <c r="G225" s="496"/>
      <c r="H225" s="496"/>
      <c r="I225" s="496"/>
      <c r="J225" s="496"/>
      <c r="K225" s="496"/>
      <c r="L225" s="496"/>
      <c r="M225" s="496"/>
      <c r="N225" s="496"/>
      <c r="O225" s="496"/>
      <c r="P225" s="496"/>
      <c r="Q225" s="496"/>
      <c r="R225" s="496"/>
      <c r="S225" s="496"/>
      <c r="T225" s="496"/>
      <c r="U225" s="496"/>
      <c r="V225" s="496"/>
      <c r="W225" s="496"/>
      <c r="X225" s="496"/>
      <c r="Y225" s="496"/>
      <c r="Z225" s="496"/>
      <c r="AA225" s="496"/>
      <c r="AB225" s="496"/>
      <c r="AC225" s="496"/>
      <c r="AD225" s="496"/>
      <c r="AE225" s="496"/>
      <c r="AF225" s="496"/>
      <c r="AG225" s="496"/>
      <c r="AH225" s="496"/>
      <c r="AI225" s="496"/>
      <c r="AJ225" s="496"/>
      <c r="AK225" s="496"/>
      <c r="AL225" s="496"/>
      <c r="AM225" s="496"/>
      <c r="AN225" s="496"/>
      <c r="AO225" s="496"/>
      <c r="AP225" s="496"/>
      <c r="AQ225" s="496"/>
      <c r="AR225" s="496"/>
      <c r="AS225" s="496"/>
      <c r="AT225" s="496"/>
      <c r="AU225" s="496"/>
      <c r="AV225" s="718"/>
      <c r="AW225" s="718" t="s">
        <v>94</v>
      </c>
      <c r="AX225" s="718">
        <f>IF(AZ217=BB216,BB218,IF(AZ217=BC216,BC218,IF(AZ217=BD216,BD218,IF(AZ217=BE216,BE218,IF(AZ217=BF216,BF218,0)))))</f>
        <v>0.78</v>
      </c>
      <c r="AY225" s="718"/>
      <c r="AZ225" s="718"/>
      <c r="BA225" s="718"/>
      <c r="BB225" s="718"/>
      <c r="BC225" s="718"/>
      <c r="BD225" s="718"/>
      <c r="BE225" s="718"/>
      <c r="BF225" s="718"/>
      <c r="BG225" s="718"/>
      <c r="BH225" s="718"/>
      <c r="BI225" s="718"/>
      <c r="BJ225" s="718"/>
      <c r="BK225" s="718"/>
      <c r="BL225" s="718"/>
      <c r="BM225" s="496"/>
      <c r="BN225" s="496"/>
      <c r="BO225" s="496"/>
      <c r="BP225" s="496"/>
      <c r="BQ225" s="496"/>
      <c r="BR225" s="496"/>
      <c r="BS225" s="496"/>
      <c r="BT225" s="496"/>
      <c r="BU225" s="496"/>
      <c r="BV225" s="496"/>
      <c r="BW225" s="496"/>
      <c r="BX225" s="496"/>
      <c r="BY225" s="496"/>
      <c r="BZ225" s="496"/>
      <c r="CA225" s="496"/>
    </row>
    <row r="226" spans="7:79">
      <c r="G226" s="496"/>
      <c r="H226" s="496"/>
      <c r="I226" s="496"/>
      <c r="J226" s="496"/>
      <c r="K226" s="496"/>
      <c r="L226" s="496"/>
      <c r="M226" s="496"/>
      <c r="N226" s="496"/>
      <c r="O226" s="496"/>
      <c r="P226" s="496"/>
      <c r="Q226" s="496"/>
      <c r="R226" s="496"/>
      <c r="S226" s="496"/>
      <c r="T226" s="496"/>
      <c r="U226" s="496"/>
      <c r="V226" s="496"/>
      <c r="W226" s="496"/>
      <c r="X226" s="496"/>
      <c r="Y226" s="496"/>
      <c r="Z226" s="496"/>
      <c r="AA226" s="496"/>
      <c r="AB226" s="496"/>
      <c r="AC226" s="496"/>
      <c r="AD226" s="496"/>
      <c r="AE226" s="496"/>
      <c r="AF226" s="496"/>
      <c r="AG226" s="496"/>
      <c r="AH226" s="496"/>
      <c r="AI226" s="496"/>
      <c r="AJ226" s="496"/>
      <c r="AK226" s="496"/>
      <c r="AL226" s="496"/>
      <c r="AM226" s="496"/>
      <c r="AN226" s="496"/>
      <c r="AO226" s="496"/>
      <c r="AP226" s="496"/>
      <c r="AQ226" s="496"/>
      <c r="AR226" s="496"/>
      <c r="AS226" s="496"/>
      <c r="AT226" s="496"/>
      <c r="AU226" s="496"/>
      <c r="AV226" s="718"/>
      <c r="AW226" s="718"/>
      <c r="AX226" s="718"/>
      <c r="AY226" s="718"/>
      <c r="AZ226" s="718"/>
      <c r="BA226" s="718"/>
      <c r="BB226" s="718"/>
      <c r="BC226" s="718"/>
      <c r="BD226" s="718"/>
      <c r="BE226" s="718"/>
      <c r="BF226" s="718"/>
      <c r="BG226" s="718"/>
      <c r="BH226" s="718"/>
      <c r="BI226" s="718"/>
      <c r="BJ226" s="718"/>
      <c r="BK226" s="718"/>
      <c r="BL226" s="718"/>
      <c r="BM226" s="496"/>
      <c r="BN226" s="496"/>
      <c r="BO226" s="496"/>
      <c r="BP226" s="496"/>
      <c r="BQ226" s="496"/>
      <c r="BR226" s="496"/>
      <c r="BS226" s="496"/>
      <c r="BT226" s="496"/>
      <c r="BU226" s="496"/>
      <c r="BV226" s="496"/>
      <c r="BW226" s="496"/>
      <c r="BX226" s="496"/>
      <c r="BY226" s="496"/>
      <c r="BZ226" s="496"/>
      <c r="CA226" s="496"/>
    </row>
    <row r="227" spans="7:79">
      <c r="G227" s="496"/>
      <c r="H227" s="496"/>
      <c r="I227" s="496"/>
      <c r="J227" s="496"/>
      <c r="K227" s="496"/>
      <c r="L227" s="496"/>
      <c r="M227" s="496"/>
      <c r="N227" s="496"/>
      <c r="O227" s="496"/>
      <c r="P227" s="496"/>
      <c r="Q227" s="496"/>
      <c r="R227" s="496"/>
      <c r="S227" s="496"/>
      <c r="T227" s="496"/>
      <c r="U227" s="496"/>
      <c r="V227" s="496"/>
      <c r="W227" s="496"/>
      <c r="X227" s="496"/>
      <c r="Y227" s="496"/>
      <c r="Z227" s="496"/>
      <c r="AA227" s="496"/>
      <c r="AB227" s="496"/>
      <c r="AC227" s="496"/>
      <c r="AD227" s="496"/>
      <c r="AE227" s="496"/>
      <c r="AF227" s="496"/>
      <c r="AG227" s="496"/>
      <c r="AH227" s="496"/>
      <c r="AI227" s="496"/>
      <c r="AJ227" s="496"/>
      <c r="AK227" s="496"/>
      <c r="AL227" s="496"/>
      <c r="AM227" s="496"/>
      <c r="AN227" s="496"/>
      <c r="AO227" s="496"/>
      <c r="AP227" s="496"/>
      <c r="AQ227" s="496"/>
      <c r="AR227" s="496"/>
      <c r="AS227" s="496"/>
      <c r="AT227" s="496"/>
      <c r="AU227" s="496"/>
      <c r="AV227" s="718"/>
      <c r="AW227" s="718"/>
      <c r="AX227" s="718"/>
      <c r="AY227" s="718"/>
      <c r="AZ227" s="718"/>
      <c r="BA227" s="718"/>
      <c r="BB227" s="718"/>
      <c r="BC227" s="718"/>
      <c r="BD227" s="718"/>
      <c r="BE227" s="718"/>
      <c r="BF227" s="718"/>
      <c r="BG227" s="718"/>
      <c r="BH227" s="718"/>
      <c r="BI227" s="718"/>
      <c r="BJ227" s="718"/>
      <c r="BK227" s="718"/>
      <c r="BL227" s="718"/>
      <c r="BM227" s="496"/>
      <c r="BN227" s="496"/>
      <c r="BO227" s="496"/>
      <c r="BP227" s="496"/>
      <c r="BQ227" s="496"/>
      <c r="BR227" s="496"/>
      <c r="BS227" s="496"/>
      <c r="BT227" s="496"/>
      <c r="BU227" s="496"/>
      <c r="BV227" s="496"/>
      <c r="BW227" s="496"/>
      <c r="BX227" s="496"/>
      <c r="BY227" s="496"/>
      <c r="BZ227" s="496"/>
      <c r="CA227" s="496"/>
    </row>
    <row r="228" spans="7:79">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6"/>
      <c r="AD228" s="496"/>
      <c r="AE228" s="496"/>
      <c r="AF228" s="496"/>
      <c r="AG228" s="496"/>
      <c r="AH228" s="496"/>
      <c r="AI228" s="496"/>
      <c r="AJ228" s="496"/>
      <c r="AK228" s="496"/>
      <c r="AL228" s="496"/>
      <c r="AM228" s="496"/>
      <c r="AN228" s="496"/>
      <c r="AO228" s="496"/>
      <c r="AP228" s="496"/>
      <c r="AQ228" s="496"/>
      <c r="AR228" s="496"/>
      <c r="AS228" s="496"/>
      <c r="AT228" s="496"/>
      <c r="AU228" s="496"/>
      <c r="AV228" s="718"/>
      <c r="AW228" s="718"/>
      <c r="AX228" s="718"/>
      <c r="AY228" s="718"/>
      <c r="AZ228" s="718"/>
      <c r="BA228" s="718"/>
      <c r="BB228" s="718"/>
      <c r="BC228" s="718"/>
      <c r="BD228" s="718"/>
      <c r="BE228" s="718"/>
      <c r="BF228" s="718"/>
      <c r="BG228" s="718"/>
      <c r="BH228" s="718"/>
      <c r="BI228" s="718"/>
      <c r="BJ228" s="718"/>
      <c r="BK228" s="718"/>
      <c r="BL228" s="718"/>
      <c r="BM228" s="496"/>
      <c r="BN228" s="496"/>
      <c r="BO228" s="496"/>
      <c r="BP228" s="496"/>
      <c r="BQ228" s="496"/>
      <c r="BR228" s="496"/>
      <c r="BS228" s="496"/>
      <c r="BT228" s="496"/>
      <c r="BU228" s="496"/>
      <c r="BV228" s="496"/>
      <c r="BW228" s="496"/>
      <c r="BX228" s="496"/>
      <c r="BY228" s="496"/>
      <c r="BZ228" s="496"/>
      <c r="CA228" s="496"/>
    </row>
    <row r="229" spans="7:79">
      <c r="G229" s="496"/>
      <c r="H229" s="496"/>
      <c r="I229" s="496"/>
      <c r="J229" s="496"/>
      <c r="K229" s="496"/>
      <c r="L229" s="496"/>
      <c r="M229" s="496"/>
      <c r="N229" s="496"/>
      <c r="O229" s="496"/>
      <c r="P229" s="496"/>
      <c r="Q229" s="496"/>
      <c r="R229" s="496"/>
      <c r="S229" s="496"/>
      <c r="T229" s="496"/>
      <c r="U229" s="496"/>
      <c r="V229" s="496"/>
      <c r="W229" s="496"/>
      <c r="X229" s="496"/>
      <c r="Y229" s="496"/>
      <c r="Z229" s="496"/>
      <c r="AA229" s="496"/>
      <c r="AB229" s="496"/>
      <c r="AC229" s="496"/>
      <c r="AD229" s="496"/>
      <c r="AE229" s="496"/>
      <c r="AF229" s="496"/>
      <c r="AG229" s="496"/>
      <c r="AH229" s="496"/>
      <c r="AI229" s="496"/>
      <c r="AJ229" s="496"/>
      <c r="AK229" s="496"/>
      <c r="AL229" s="496"/>
      <c r="AM229" s="496"/>
      <c r="AN229" s="496"/>
      <c r="AO229" s="496"/>
      <c r="AP229" s="496"/>
      <c r="AQ229" s="496"/>
      <c r="AR229" s="496"/>
      <c r="AS229" s="496"/>
      <c r="AT229" s="496"/>
      <c r="AU229" s="496"/>
      <c r="AV229" s="718"/>
      <c r="AW229" s="718"/>
      <c r="AX229" s="718"/>
      <c r="AY229" s="718"/>
      <c r="AZ229" s="718"/>
      <c r="BA229" s="718"/>
      <c r="BB229" s="718"/>
      <c r="BC229" s="718"/>
      <c r="BD229" s="718"/>
      <c r="BE229" s="718"/>
      <c r="BF229" s="718"/>
      <c r="BG229" s="718"/>
      <c r="BH229" s="718"/>
      <c r="BI229" s="718"/>
      <c r="BJ229" s="718"/>
      <c r="BK229" s="718"/>
      <c r="BL229" s="718"/>
      <c r="BM229" s="496"/>
      <c r="BN229" s="496"/>
      <c r="BO229" s="496"/>
      <c r="BP229" s="496"/>
      <c r="BQ229" s="496"/>
      <c r="BR229" s="496"/>
      <c r="BS229" s="496"/>
      <c r="BT229" s="496"/>
      <c r="BU229" s="496"/>
      <c r="BV229" s="496"/>
      <c r="BW229" s="496"/>
      <c r="BX229" s="496"/>
      <c r="BY229" s="496"/>
      <c r="BZ229" s="496"/>
      <c r="CA229" s="496"/>
    </row>
    <row r="230" spans="7:79">
      <c r="G230" s="496"/>
      <c r="H230" s="496"/>
      <c r="I230" s="496"/>
      <c r="J230" s="496"/>
      <c r="K230" s="496"/>
      <c r="L230" s="496"/>
      <c r="M230" s="496"/>
      <c r="N230" s="496"/>
      <c r="O230" s="496"/>
      <c r="P230" s="496"/>
      <c r="Q230" s="496"/>
      <c r="R230" s="496"/>
      <c r="S230" s="496"/>
      <c r="T230" s="496"/>
      <c r="U230" s="496"/>
      <c r="V230" s="496"/>
      <c r="W230" s="496"/>
      <c r="X230" s="496"/>
      <c r="Y230" s="496"/>
      <c r="Z230" s="496"/>
      <c r="AA230" s="496"/>
      <c r="AB230" s="496"/>
      <c r="AC230" s="496"/>
      <c r="AD230" s="496"/>
      <c r="AE230" s="496"/>
      <c r="AF230" s="496"/>
      <c r="AG230" s="496"/>
      <c r="AH230" s="496"/>
      <c r="AI230" s="496"/>
      <c r="AJ230" s="496"/>
      <c r="AK230" s="496"/>
      <c r="AL230" s="496"/>
      <c r="AM230" s="496"/>
      <c r="AN230" s="496"/>
      <c r="AO230" s="496"/>
      <c r="AP230" s="496"/>
      <c r="AQ230" s="496"/>
      <c r="AR230" s="496"/>
      <c r="AS230" s="496"/>
      <c r="AT230" s="496"/>
      <c r="AU230" s="496"/>
      <c r="AV230" s="718"/>
      <c r="AW230" s="718"/>
      <c r="AX230" s="718"/>
      <c r="AY230" s="718"/>
      <c r="AZ230" s="718"/>
      <c r="BA230" s="718"/>
      <c r="BB230" s="718"/>
      <c r="BC230" s="718"/>
      <c r="BD230" s="718"/>
      <c r="BE230" s="718"/>
      <c r="BF230" s="718"/>
      <c r="BG230" s="718"/>
      <c r="BH230" s="718"/>
      <c r="BI230" s="718"/>
      <c r="BJ230" s="718"/>
      <c r="BK230" s="718"/>
      <c r="BL230" s="718"/>
      <c r="BM230" s="496"/>
      <c r="BN230" s="496"/>
      <c r="BO230" s="496"/>
      <c r="BP230" s="496"/>
      <c r="BQ230" s="496"/>
      <c r="BR230" s="496"/>
      <c r="BS230" s="496"/>
      <c r="BT230" s="496"/>
      <c r="BU230" s="496"/>
      <c r="BV230" s="496"/>
      <c r="BW230" s="496"/>
      <c r="BX230" s="496"/>
      <c r="BY230" s="496"/>
      <c r="BZ230" s="496"/>
      <c r="CA230" s="496"/>
    </row>
    <row r="231" spans="7:79">
      <c r="G231" s="496"/>
      <c r="H231" s="496"/>
      <c r="I231" s="496"/>
      <c r="J231" s="496"/>
      <c r="K231" s="496"/>
      <c r="L231" s="496"/>
      <c r="M231" s="496"/>
      <c r="N231" s="496"/>
      <c r="O231" s="496"/>
      <c r="P231" s="496"/>
      <c r="Q231" s="496"/>
      <c r="R231" s="496"/>
      <c r="S231" s="496"/>
      <c r="T231" s="496"/>
      <c r="U231" s="496"/>
      <c r="V231" s="496"/>
      <c r="W231" s="496"/>
      <c r="X231" s="496"/>
      <c r="Y231" s="496"/>
      <c r="Z231" s="496"/>
      <c r="AA231" s="496"/>
      <c r="AB231" s="496"/>
      <c r="AC231" s="496"/>
      <c r="AD231" s="496"/>
      <c r="AE231" s="496"/>
      <c r="AF231" s="496"/>
      <c r="AG231" s="496"/>
      <c r="AH231" s="496"/>
      <c r="AI231" s="496"/>
      <c r="AJ231" s="496"/>
      <c r="AK231" s="496"/>
      <c r="AL231" s="496"/>
      <c r="AM231" s="496"/>
      <c r="AN231" s="496"/>
      <c r="AO231" s="496"/>
      <c r="AP231" s="496"/>
      <c r="AQ231" s="496"/>
      <c r="AR231" s="496"/>
      <c r="AS231" s="496"/>
      <c r="AT231" s="496"/>
      <c r="AU231" s="496"/>
      <c r="AV231" s="718"/>
      <c r="AW231" s="718"/>
      <c r="AX231" s="718"/>
      <c r="AY231" s="718"/>
      <c r="AZ231" s="718"/>
      <c r="BA231" s="718"/>
      <c r="BB231" s="718"/>
      <c r="BC231" s="718"/>
      <c r="BD231" s="718"/>
      <c r="BE231" s="718"/>
      <c r="BF231" s="718"/>
      <c r="BG231" s="718"/>
      <c r="BH231" s="718"/>
      <c r="BI231" s="718"/>
      <c r="BJ231" s="718"/>
      <c r="BK231" s="718"/>
      <c r="BL231" s="718"/>
      <c r="BM231" s="496"/>
      <c r="BN231" s="496"/>
      <c r="BO231" s="496"/>
      <c r="BP231" s="496"/>
      <c r="BQ231" s="496"/>
      <c r="BR231" s="496"/>
      <c r="BS231" s="496"/>
      <c r="BT231" s="496"/>
      <c r="BU231" s="496"/>
      <c r="BV231" s="496"/>
      <c r="BW231" s="496"/>
      <c r="BX231" s="496"/>
      <c r="BY231" s="496"/>
      <c r="BZ231" s="496"/>
      <c r="CA231" s="496"/>
    </row>
    <row r="232" spans="7:79">
      <c r="G232" s="496"/>
      <c r="H232" s="496"/>
      <c r="I232" s="496"/>
      <c r="J232" s="496"/>
      <c r="K232" s="496"/>
      <c r="L232" s="496"/>
      <c r="M232" s="496"/>
      <c r="N232" s="496"/>
      <c r="O232" s="496"/>
      <c r="P232" s="496"/>
      <c r="Q232" s="496"/>
      <c r="R232" s="496"/>
      <c r="S232" s="496"/>
      <c r="T232" s="496"/>
      <c r="U232" s="496"/>
      <c r="V232" s="496"/>
      <c r="W232" s="496"/>
      <c r="X232" s="496"/>
      <c r="Y232" s="496"/>
      <c r="Z232" s="496"/>
      <c r="AA232" s="496"/>
      <c r="AB232" s="496"/>
      <c r="AC232" s="496"/>
      <c r="AD232" s="496"/>
      <c r="AE232" s="496"/>
      <c r="AF232" s="496"/>
      <c r="AG232" s="496"/>
      <c r="AH232" s="496"/>
      <c r="AI232" s="496"/>
      <c r="AJ232" s="496"/>
      <c r="AK232" s="496"/>
      <c r="AL232" s="496"/>
      <c r="AM232" s="496"/>
      <c r="AN232" s="496"/>
      <c r="AO232" s="496"/>
      <c r="AP232" s="496"/>
      <c r="AQ232" s="496"/>
      <c r="AR232" s="496"/>
      <c r="AS232" s="496"/>
      <c r="AT232" s="496"/>
      <c r="AU232" s="496"/>
      <c r="AV232" s="718"/>
      <c r="AW232" s="718"/>
      <c r="AX232" s="718"/>
      <c r="AY232" s="718"/>
      <c r="AZ232" s="718"/>
      <c r="BA232" s="718"/>
      <c r="BB232" s="718"/>
      <c r="BC232" s="718"/>
      <c r="BD232" s="718"/>
      <c r="BE232" s="718"/>
      <c r="BF232" s="718"/>
      <c r="BG232" s="718"/>
      <c r="BH232" s="718"/>
      <c r="BI232" s="718"/>
      <c r="BJ232" s="718"/>
      <c r="BK232" s="718"/>
      <c r="BL232" s="718"/>
      <c r="BM232" s="496"/>
      <c r="BN232" s="496"/>
      <c r="BO232" s="496"/>
      <c r="BP232" s="496"/>
      <c r="BQ232" s="496"/>
      <c r="BR232" s="496"/>
      <c r="BS232" s="496"/>
      <c r="BT232" s="496"/>
      <c r="BU232" s="496"/>
      <c r="BV232" s="496"/>
      <c r="BW232" s="496"/>
      <c r="BX232" s="496"/>
      <c r="BY232" s="496"/>
      <c r="BZ232" s="496"/>
      <c r="CA232" s="496"/>
    </row>
    <row r="233" spans="7:79">
      <c r="G233" s="496"/>
      <c r="H233" s="496"/>
      <c r="I233" s="496"/>
      <c r="J233" s="496"/>
      <c r="K233" s="496"/>
      <c r="L233" s="496"/>
      <c r="M233" s="496"/>
      <c r="N233" s="496"/>
      <c r="O233" s="496"/>
      <c r="P233" s="496"/>
      <c r="Q233" s="496"/>
      <c r="R233" s="496"/>
      <c r="S233" s="496"/>
      <c r="T233" s="496"/>
      <c r="U233" s="496"/>
      <c r="V233" s="496"/>
      <c r="W233" s="496"/>
      <c r="X233" s="496"/>
      <c r="Y233" s="496"/>
      <c r="Z233" s="496"/>
      <c r="AA233" s="496"/>
      <c r="AB233" s="496"/>
      <c r="AC233" s="496"/>
      <c r="AD233" s="496"/>
      <c r="AE233" s="496"/>
      <c r="AF233" s="496"/>
      <c r="AG233" s="496"/>
      <c r="AH233" s="496"/>
      <c r="AI233" s="496"/>
      <c r="AJ233" s="496"/>
      <c r="AK233" s="496"/>
      <c r="AL233" s="496"/>
      <c r="AM233" s="496"/>
      <c r="AN233" s="496"/>
      <c r="AO233" s="496"/>
      <c r="AP233" s="496"/>
      <c r="AQ233" s="496"/>
      <c r="AR233" s="496"/>
      <c r="AS233" s="496"/>
      <c r="AT233" s="496"/>
      <c r="AU233" s="496"/>
      <c r="AV233" s="718"/>
      <c r="AW233" s="718"/>
      <c r="AX233" s="718"/>
      <c r="AY233" s="718"/>
      <c r="AZ233" s="718"/>
      <c r="BA233" s="718"/>
      <c r="BB233" s="718"/>
      <c r="BC233" s="718"/>
      <c r="BD233" s="718"/>
      <c r="BE233" s="718"/>
      <c r="BF233" s="718"/>
      <c r="BG233" s="718"/>
      <c r="BH233" s="718"/>
      <c r="BI233" s="718"/>
      <c r="BJ233" s="718"/>
      <c r="BK233" s="718"/>
      <c r="BL233" s="718"/>
      <c r="BM233" s="496"/>
      <c r="BN233" s="496"/>
      <c r="BO233" s="496"/>
      <c r="BP233" s="496"/>
      <c r="BQ233" s="496"/>
      <c r="BR233" s="496"/>
      <c r="BS233" s="496"/>
      <c r="BT233" s="496"/>
      <c r="BU233" s="496"/>
      <c r="BV233" s="496"/>
      <c r="BW233" s="496"/>
      <c r="BX233" s="496"/>
      <c r="BY233" s="496"/>
      <c r="BZ233" s="496"/>
      <c r="CA233" s="496"/>
    </row>
    <row r="234" spans="7:79">
      <c r="G234" s="496"/>
      <c r="H234" s="496"/>
      <c r="I234" s="496"/>
      <c r="J234" s="496"/>
      <c r="K234" s="496"/>
      <c r="L234" s="496"/>
      <c r="M234" s="496"/>
      <c r="N234" s="496"/>
      <c r="O234" s="496"/>
      <c r="P234" s="496"/>
      <c r="Q234" s="496"/>
      <c r="R234" s="496"/>
      <c r="S234" s="496"/>
      <c r="T234" s="496"/>
      <c r="U234" s="496"/>
      <c r="V234" s="496"/>
      <c r="W234" s="496"/>
      <c r="X234" s="496"/>
      <c r="Y234" s="496"/>
      <c r="Z234" s="496"/>
      <c r="AA234" s="496"/>
      <c r="AB234" s="496"/>
      <c r="AC234" s="496"/>
      <c r="AD234" s="496"/>
      <c r="AE234" s="496"/>
      <c r="AF234" s="496"/>
      <c r="AG234" s="496"/>
      <c r="AH234" s="496"/>
      <c r="AI234" s="496"/>
      <c r="AJ234" s="496"/>
      <c r="AK234" s="496"/>
      <c r="AL234" s="496"/>
      <c r="AM234" s="496"/>
      <c r="AN234" s="496"/>
      <c r="AO234" s="496"/>
      <c r="AP234" s="496"/>
      <c r="AQ234" s="496"/>
      <c r="AR234" s="496"/>
      <c r="AS234" s="496"/>
      <c r="AT234" s="496"/>
      <c r="AU234" s="496"/>
      <c r="AV234" s="718"/>
      <c r="AW234" s="718"/>
      <c r="AX234" s="718"/>
      <c r="AY234" s="718"/>
      <c r="AZ234" s="718"/>
      <c r="BA234" s="718"/>
      <c r="BB234" s="718"/>
      <c r="BC234" s="718"/>
      <c r="BD234" s="718"/>
      <c r="BE234" s="718"/>
      <c r="BF234" s="718"/>
      <c r="BG234" s="718"/>
      <c r="BH234" s="718"/>
      <c r="BI234" s="718"/>
      <c r="BJ234" s="718"/>
      <c r="BK234" s="718"/>
      <c r="BL234" s="718"/>
      <c r="BM234" s="496"/>
      <c r="BN234" s="496"/>
      <c r="BO234" s="496"/>
      <c r="BP234" s="496"/>
      <c r="BQ234" s="496"/>
      <c r="BR234" s="496"/>
      <c r="BS234" s="496"/>
      <c r="BT234" s="496"/>
      <c r="BU234" s="496"/>
      <c r="BV234" s="496"/>
      <c r="BW234" s="496"/>
      <c r="BX234" s="496"/>
      <c r="BY234" s="496"/>
      <c r="BZ234" s="496"/>
      <c r="CA234" s="496"/>
    </row>
    <row r="235" spans="7:79">
      <c r="G235" s="496"/>
      <c r="H235" s="496"/>
      <c r="I235" s="496"/>
      <c r="J235" s="496"/>
      <c r="K235" s="496"/>
      <c r="L235" s="496"/>
      <c r="M235" s="496"/>
      <c r="N235" s="496"/>
      <c r="O235" s="496"/>
      <c r="P235" s="496"/>
      <c r="Q235" s="496"/>
      <c r="R235" s="496"/>
      <c r="S235" s="496"/>
      <c r="T235" s="496"/>
      <c r="U235" s="496"/>
      <c r="V235" s="496"/>
      <c r="W235" s="496"/>
      <c r="X235" s="496"/>
      <c r="Y235" s="496"/>
      <c r="Z235" s="496"/>
      <c r="AA235" s="496"/>
      <c r="AB235" s="496"/>
      <c r="AC235" s="496"/>
      <c r="AD235" s="496"/>
      <c r="AE235" s="496"/>
      <c r="AF235" s="496"/>
      <c r="AG235" s="496"/>
      <c r="AH235" s="496"/>
      <c r="AI235" s="496"/>
      <c r="AJ235" s="496"/>
      <c r="AK235" s="496"/>
      <c r="AL235" s="496"/>
      <c r="AM235" s="496"/>
      <c r="AN235" s="496"/>
      <c r="AO235" s="496"/>
      <c r="AP235" s="496"/>
      <c r="AQ235" s="496"/>
      <c r="AR235" s="496"/>
      <c r="AS235" s="496"/>
      <c r="AT235" s="496"/>
      <c r="AU235" s="496"/>
      <c r="AV235" s="718"/>
      <c r="AW235" s="718"/>
      <c r="AX235" s="718"/>
      <c r="AY235" s="718"/>
      <c r="AZ235" s="718"/>
      <c r="BA235" s="718"/>
      <c r="BB235" s="718"/>
      <c r="BC235" s="718"/>
      <c r="BD235" s="718"/>
      <c r="BE235" s="718"/>
      <c r="BF235" s="718"/>
      <c r="BG235" s="718"/>
      <c r="BH235" s="718"/>
      <c r="BI235" s="718"/>
      <c r="BJ235" s="718"/>
      <c r="BK235" s="718"/>
      <c r="BL235" s="718"/>
      <c r="BM235" s="496"/>
      <c r="BN235" s="496"/>
      <c r="BO235" s="496"/>
      <c r="BP235" s="496"/>
      <c r="BQ235" s="496"/>
      <c r="BR235" s="496"/>
      <c r="BS235" s="496"/>
      <c r="BT235" s="496"/>
      <c r="BU235" s="496"/>
      <c r="BV235" s="496"/>
      <c r="BW235" s="496"/>
      <c r="BX235" s="496"/>
      <c r="BY235" s="496"/>
      <c r="BZ235" s="496"/>
      <c r="CA235" s="496"/>
    </row>
    <row r="236" spans="7:79">
      <c r="G236" s="496"/>
      <c r="H236" s="496"/>
      <c r="I236" s="496"/>
      <c r="J236" s="496"/>
      <c r="K236" s="496"/>
      <c r="L236" s="496"/>
      <c r="M236" s="496"/>
      <c r="N236" s="496"/>
      <c r="O236" s="496"/>
      <c r="P236" s="496"/>
      <c r="Q236" s="496"/>
      <c r="R236" s="496"/>
      <c r="S236" s="496"/>
      <c r="T236" s="496"/>
      <c r="U236" s="496"/>
      <c r="V236" s="496"/>
      <c r="W236" s="496"/>
      <c r="X236" s="496"/>
      <c r="Y236" s="496"/>
      <c r="Z236" s="496"/>
      <c r="AA236" s="496"/>
      <c r="AB236" s="496"/>
      <c r="AC236" s="496"/>
      <c r="AD236" s="496"/>
      <c r="AE236" s="496"/>
      <c r="AF236" s="496"/>
      <c r="AG236" s="496"/>
      <c r="AH236" s="496"/>
      <c r="AI236" s="496"/>
      <c r="AJ236" s="496"/>
      <c r="AK236" s="496"/>
      <c r="AL236" s="496"/>
      <c r="AM236" s="496"/>
      <c r="AN236" s="496"/>
      <c r="AO236" s="496"/>
      <c r="AP236" s="496"/>
      <c r="AQ236" s="496"/>
      <c r="AR236" s="496"/>
      <c r="AS236" s="496"/>
      <c r="AT236" s="496"/>
      <c r="AU236" s="496"/>
      <c r="AV236" s="718"/>
      <c r="AW236" s="718"/>
      <c r="AX236" s="718"/>
      <c r="AY236" s="718"/>
      <c r="AZ236" s="718"/>
      <c r="BA236" s="718"/>
      <c r="BB236" s="718"/>
      <c r="BC236" s="718"/>
      <c r="BD236" s="718"/>
      <c r="BE236" s="718"/>
      <c r="BF236" s="718"/>
      <c r="BG236" s="718"/>
      <c r="BH236" s="718"/>
      <c r="BI236" s="718"/>
      <c r="BJ236" s="718"/>
      <c r="BK236" s="718"/>
      <c r="BL236" s="718"/>
      <c r="BM236" s="496"/>
      <c r="BN236" s="496"/>
      <c r="BO236" s="496"/>
      <c r="BP236" s="496"/>
      <c r="BQ236" s="496"/>
      <c r="BR236" s="496"/>
      <c r="BS236" s="496"/>
      <c r="BT236" s="496"/>
      <c r="BU236" s="496"/>
      <c r="BV236" s="496"/>
      <c r="BW236" s="496"/>
      <c r="BX236" s="496"/>
      <c r="BY236" s="496"/>
      <c r="BZ236" s="496"/>
      <c r="CA236" s="496"/>
    </row>
    <row r="237" spans="7:79">
      <c r="G237" s="496"/>
      <c r="H237" s="496"/>
      <c r="I237" s="496"/>
      <c r="J237" s="496"/>
      <c r="K237" s="496"/>
      <c r="L237" s="496"/>
      <c r="M237" s="496"/>
      <c r="N237" s="496"/>
      <c r="O237" s="496"/>
      <c r="P237" s="496"/>
      <c r="Q237" s="496"/>
      <c r="R237" s="496"/>
      <c r="S237" s="496"/>
      <c r="T237" s="496"/>
      <c r="U237" s="496"/>
      <c r="V237" s="496"/>
      <c r="W237" s="496"/>
      <c r="X237" s="496"/>
      <c r="Y237" s="496"/>
      <c r="Z237" s="496"/>
      <c r="AA237" s="496"/>
      <c r="AB237" s="496"/>
      <c r="AC237" s="496"/>
      <c r="AD237" s="496"/>
      <c r="AE237" s="496"/>
      <c r="AF237" s="496"/>
      <c r="AG237" s="496"/>
      <c r="AH237" s="496"/>
      <c r="AI237" s="496"/>
      <c r="AJ237" s="496"/>
      <c r="AK237" s="496"/>
      <c r="AL237" s="496"/>
      <c r="AM237" s="496"/>
      <c r="AN237" s="496"/>
      <c r="AO237" s="496"/>
      <c r="AP237" s="496"/>
      <c r="AQ237" s="496"/>
      <c r="AR237" s="496"/>
      <c r="AS237" s="496"/>
      <c r="AT237" s="496"/>
      <c r="AU237" s="496"/>
      <c r="AV237" s="718"/>
      <c r="AW237" s="718"/>
      <c r="AX237" s="718"/>
      <c r="AY237" s="718"/>
      <c r="AZ237" s="718"/>
      <c r="BA237" s="718"/>
      <c r="BB237" s="718"/>
      <c r="BC237" s="718"/>
      <c r="BD237" s="718"/>
      <c r="BE237" s="718"/>
      <c r="BF237" s="718"/>
      <c r="BG237" s="718"/>
      <c r="BH237" s="718"/>
      <c r="BI237" s="718"/>
      <c r="BJ237" s="718"/>
      <c r="BK237" s="718"/>
      <c r="BL237" s="718"/>
      <c r="BM237" s="496"/>
      <c r="BN237" s="496"/>
      <c r="BO237" s="496"/>
      <c r="BP237" s="496"/>
      <c r="BQ237" s="496"/>
      <c r="BR237" s="496"/>
      <c r="BS237" s="496"/>
      <c r="BT237" s="496"/>
      <c r="BU237" s="496"/>
      <c r="BV237" s="496"/>
      <c r="BW237" s="496"/>
      <c r="BX237" s="496"/>
      <c r="BY237" s="496"/>
      <c r="BZ237" s="496"/>
      <c r="CA237" s="496"/>
    </row>
    <row r="238" spans="7:79">
      <c r="G238" s="496"/>
      <c r="H238" s="496"/>
      <c r="I238" s="496"/>
      <c r="J238" s="496"/>
      <c r="K238" s="496"/>
      <c r="L238" s="496"/>
      <c r="M238" s="496"/>
      <c r="N238" s="496"/>
      <c r="O238" s="496"/>
      <c r="P238" s="496"/>
      <c r="Q238" s="496"/>
      <c r="R238" s="496"/>
      <c r="S238" s="496"/>
      <c r="T238" s="496"/>
      <c r="U238" s="496"/>
      <c r="V238" s="496"/>
      <c r="W238" s="496"/>
      <c r="X238" s="496"/>
      <c r="Y238" s="496"/>
      <c r="Z238" s="496"/>
      <c r="AA238" s="496"/>
      <c r="AB238" s="496"/>
      <c r="AC238" s="496"/>
      <c r="AD238" s="496"/>
      <c r="AE238" s="496"/>
      <c r="AF238" s="496"/>
      <c r="AG238" s="496"/>
      <c r="AH238" s="496"/>
      <c r="AI238" s="496"/>
      <c r="AJ238" s="496"/>
      <c r="AK238" s="496"/>
      <c r="AL238" s="496"/>
      <c r="AM238" s="496"/>
      <c r="AN238" s="496"/>
      <c r="AO238" s="496"/>
      <c r="AP238" s="496"/>
      <c r="AQ238" s="496"/>
      <c r="AR238" s="496"/>
      <c r="AS238" s="496"/>
      <c r="AT238" s="496"/>
      <c r="AU238" s="496"/>
      <c r="AV238" s="718"/>
      <c r="AW238" s="718"/>
      <c r="AX238" s="718"/>
      <c r="AY238" s="718"/>
      <c r="AZ238" s="718"/>
      <c r="BA238" s="718"/>
      <c r="BB238" s="718"/>
      <c r="BC238" s="718"/>
      <c r="BD238" s="718"/>
      <c r="BE238" s="718"/>
      <c r="BF238" s="718"/>
      <c r="BG238" s="718"/>
      <c r="BH238" s="718"/>
      <c r="BI238" s="718"/>
      <c r="BJ238" s="718"/>
      <c r="BK238" s="718"/>
      <c r="BL238" s="718"/>
      <c r="BM238" s="496"/>
      <c r="BN238" s="496"/>
      <c r="BO238" s="496"/>
      <c r="BP238" s="496"/>
      <c r="BQ238" s="496"/>
      <c r="BR238" s="496"/>
      <c r="BS238" s="496"/>
      <c r="BT238" s="496"/>
      <c r="BU238" s="496"/>
      <c r="BV238" s="496"/>
      <c r="BW238" s="496"/>
      <c r="BX238" s="496"/>
      <c r="BY238" s="496"/>
      <c r="BZ238" s="496"/>
      <c r="CA238" s="496"/>
    </row>
    <row r="239" spans="7:79">
      <c r="G239" s="496"/>
      <c r="H239" s="496"/>
      <c r="I239" s="496"/>
      <c r="J239" s="496"/>
      <c r="K239" s="496"/>
      <c r="L239" s="496"/>
      <c r="M239" s="496"/>
      <c r="N239" s="496"/>
      <c r="O239" s="496"/>
      <c r="P239" s="496"/>
      <c r="Q239" s="496"/>
      <c r="R239" s="496"/>
      <c r="S239" s="496"/>
      <c r="T239" s="496"/>
      <c r="U239" s="496"/>
      <c r="V239" s="496"/>
      <c r="W239" s="496"/>
      <c r="X239" s="496"/>
      <c r="Y239" s="496"/>
      <c r="Z239" s="496"/>
      <c r="AA239" s="496"/>
      <c r="AB239" s="496"/>
      <c r="AC239" s="496"/>
      <c r="AD239" s="496"/>
      <c r="AE239" s="496"/>
      <c r="AF239" s="496"/>
      <c r="AG239" s="496"/>
      <c r="AH239" s="496"/>
      <c r="AI239" s="496"/>
      <c r="AJ239" s="496"/>
      <c r="AK239" s="496"/>
      <c r="AL239" s="496"/>
      <c r="AM239" s="496"/>
      <c r="AN239" s="496"/>
      <c r="AO239" s="496"/>
      <c r="AP239" s="496"/>
      <c r="AQ239" s="496"/>
      <c r="AR239" s="496"/>
      <c r="AS239" s="496"/>
      <c r="AT239" s="496"/>
      <c r="AU239" s="496"/>
      <c r="AV239" s="718"/>
      <c r="AW239" s="718"/>
      <c r="AX239" s="718"/>
      <c r="AY239" s="718"/>
      <c r="AZ239" s="718"/>
      <c r="BA239" s="718"/>
      <c r="BB239" s="718"/>
      <c r="BC239" s="718"/>
      <c r="BD239" s="718"/>
      <c r="BE239" s="718"/>
      <c r="BF239" s="718"/>
      <c r="BG239" s="718"/>
      <c r="BH239" s="718"/>
      <c r="BI239" s="718"/>
      <c r="BJ239" s="718"/>
      <c r="BK239" s="718"/>
      <c r="BL239" s="718"/>
      <c r="BM239" s="496"/>
      <c r="BN239" s="496"/>
      <c r="BO239" s="496"/>
      <c r="BP239" s="496"/>
      <c r="BQ239" s="496"/>
      <c r="BR239" s="496"/>
      <c r="BS239" s="496"/>
      <c r="BT239" s="496"/>
      <c r="BU239" s="496"/>
      <c r="BV239" s="496"/>
      <c r="BW239" s="496"/>
      <c r="BX239" s="496"/>
      <c r="BY239" s="496"/>
      <c r="BZ239" s="496"/>
      <c r="CA239" s="496"/>
    </row>
    <row r="240" spans="7:79">
      <c r="G240" s="496"/>
      <c r="H240" s="496"/>
      <c r="I240" s="496"/>
      <c r="J240" s="496"/>
      <c r="K240" s="496"/>
      <c r="L240" s="496"/>
      <c r="M240" s="496"/>
      <c r="N240" s="496"/>
      <c r="O240" s="496"/>
      <c r="P240" s="496"/>
      <c r="Q240" s="496"/>
      <c r="R240" s="496"/>
      <c r="S240" s="496"/>
      <c r="T240" s="496"/>
      <c r="U240" s="496"/>
      <c r="V240" s="496"/>
      <c r="W240" s="496"/>
      <c r="X240" s="496"/>
      <c r="Y240" s="496"/>
      <c r="Z240" s="496"/>
      <c r="AA240" s="496"/>
      <c r="AB240" s="496"/>
      <c r="AC240" s="496"/>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496"/>
      <c r="AY240" s="496"/>
      <c r="AZ240" s="496"/>
      <c r="BA240" s="496"/>
      <c r="BB240" s="496"/>
      <c r="BC240" s="496"/>
      <c r="BD240" s="496"/>
      <c r="BE240" s="496"/>
      <c r="BF240" s="496"/>
      <c r="BG240" s="496"/>
      <c r="BH240" s="496"/>
      <c r="BI240" s="496"/>
      <c r="BJ240" s="496"/>
      <c r="BK240" s="496"/>
      <c r="BL240" s="496"/>
      <c r="BM240" s="496"/>
      <c r="BN240" s="496"/>
      <c r="BO240" s="496"/>
      <c r="BP240" s="496"/>
      <c r="BQ240" s="496"/>
      <c r="BR240" s="496"/>
      <c r="BS240" s="496"/>
      <c r="BT240" s="496"/>
      <c r="BU240" s="496"/>
      <c r="BV240" s="496"/>
      <c r="BW240" s="496"/>
      <c r="BX240" s="496"/>
      <c r="BY240" s="496"/>
      <c r="BZ240" s="496"/>
      <c r="CA240" s="496"/>
    </row>
    <row r="241" spans="7:79">
      <c r="G241" s="496"/>
      <c r="H241" s="496"/>
      <c r="I241" s="496"/>
      <c r="J241" s="496"/>
      <c r="K241" s="496"/>
      <c r="L241" s="496"/>
      <c r="M241" s="496"/>
      <c r="N241" s="496"/>
      <c r="O241" s="496"/>
      <c r="P241" s="496"/>
      <c r="Q241" s="496"/>
      <c r="R241" s="496"/>
      <c r="S241" s="496"/>
      <c r="T241" s="496"/>
      <c r="U241" s="496"/>
      <c r="V241" s="496"/>
      <c r="W241" s="496"/>
      <c r="X241" s="496"/>
      <c r="Y241" s="496"/>
      <c r="Z241" s="496"/>
      <c r="AA241" s="496"/>
      <c r="AB241" s="496"/>
      <c r="AC241" s="496"/>
      <c r="AD241" s="496"/>
      <c r="AE241" s="496"/>
      <c r="AF241" s="496"/>
      <c r="AG241" s="496"/>
      <c r="AH241" s="496"/>
      <c r="AI241" s="496"/>
      <c r="AJ241" s="496"/>
      <c r="AK241" s="496"/>
      <c r="AL241" s="496"/>
      <c r="AM241" s="496"/>
      <c r="AN241" s="496"/>
      <c r="AO241" s="496"/>
      <c r="AP241" s="496"/>
      <c r="AQ241" s="496"/>
      <c r="AR241" s="496"/>
      <c r="AS241" s="496"/>
      <c r="AT241" s="496"/>
      <c r="AU241" s="496"/>
      <c r="AV241" s="496"/>
      <c r="AW241" s="496"/>
      <c r="AX241" s="496"/>
      <c r="AY241" s="496"/>
      <c r="AZ241" s="496"/>
      <c r="BA241" s="496"/>
      <c r="BB241" s="496"/>
      <c r="BC241" s="496"/>
      <c r="BD241" s="496"/>
      <c r="BE241" s="496"/>
      <c r="BF241" s="496"/>
      <c r="BG241" s="496"/>
      <c r="BH241" s="496"/>
      <c r="BI241" s="496"/>
      <c r="BJ241" s="496"/>
      <c r="BK241" s="496"/>
      <c r="BL241" s="496"/>
      <c r="BM241" s="496"/>
      <c r="BN241" s="496"/>
      <c r="BO241" s="496"/>
      <c r="BP241" s="496"/>
      <c r="BQ241" s="496"/>
      <c r="BR241" s="496"/>
      <c r="BS241" s="496"/>
      <c r="BT241" s="496"/>
      <c r="BU241" s="496"/>
      <c r="BV241" s="496"/>
      <c r="BW241" s="496"/>
      <c r="BX241" s="496"/>
      <c r="BY241" s="496"/>
      <c r="BZ241" s="496"/>
      <c r="CA241" s="496"/>
    </row>
    <row r="242" spans="7:79">
      <c r="G242" s="496"/>
      <c r="H242" s="496"/>
      <c r="I242" s="496"/>
      <c r="J242" s="496"/>
      <c r="K242" s="496"/>
      <c r="L242" s="496"/>
      <c r="M242" s="496"/>
      <c r="N242" s="496"/>
      <c r="O242" s="496"/>
      <c r="P242" s="496"/>
      <c r="Q242" s="496"/>
      <c r="R242" s="496"/>
      <c r="S242" s="496"/>
      <c r="T242" s="496"/>
      <c r="U242" s="496"/>
      <c r="V242" s="496"/>
      <c r="W242" s="496"/>
      <c r="X242" s="496"/>
      <c r="Y242" s="496"/>
      <c r="Z242" s="496"/>
      <c r="AA242" s="496"/>
      <c r="AB242" s="496"/>
      <c r="AC242" s="496"/>
      <c r="AD242" s="496"/>
      <c r="AE242" s="496"/>
      <c r="AF242" s="496"/>
      <c r="AG242" s="496"/>
      <c r="AH242" s="496"/>
      <c r="AI242" s="496"/>
      <c r="AJ242" s="496"/>
      <c r="AK242" s="496"/>
      <c r="AL242" s="496"/>
      <c r="AM242" s="496"/>
      <c r="AN242" s="496"/>
      <c r="AO242" s="496"/>
      <c r="AP242" s="496"/>
      <c r="AQ242" s="496"/>
      <c r="AR242" s="496"/>
      <c r="AS242" s="496"/>
      <c r="AT242" s="496"/>
      <c r="AU242" s="496"/>
      <c r="AV242" s="496"/>
      <c r="AW242" s="496"/>
      <c r="AX242" s="496"/>
      <c r="AY242" s="496"/>
      <c r="AZ242" s="496"/>
      <c r="BA242" s="496"/>
      <c r="BB242" s="496"/>
      <c r="BC242" s="496"/>
      <c r="BD242" s="496"/>
      <c r="BE242" s="496"/>
      <c r="BF242" s="496"/>
      <c r="BG242" s="496"/>
      <c r="BH242" s="496"/>
      <c r="BI242" s="496"/>
      <c r="BJ242" s="496"/>
      <c r="BK242" s="496"/>
      <c r="BL242" s="496"/>
      <c r="BM242" s="496"/>
      <c r="BN242" s="496"/>
      <c r="BO242" s="496"/>
      <c r="BP242" s="496"/>
      <c r="BQ242" s="496"/>
      <c r="BR242" s="496"/>
      <c r="BS242" s="496"/>
      <c r="BT242" s="496"/>
      <c r="BU242" s="496"/>
      <c r="BV242" s="496"/>
      <c r="BW242" s="496"/>
      <c r="BX242" s="496"/>
      <c r="BY242" s="496"/>
      <c r="BZ242" s="496"/>
      <c r="CA242" s="496"/>
    </row>
    <row r="243" spans="7:79">
      <c r="G243" s="496"/>
      <c r="H243" s="496"/>
      <c r="I243" s="496"/>
      <c r="J243" s="496"/>
      <c r="K243" s="496"/>
      <c r="L243" s="496"/>
      <c r="M243" s="496"/>
      <c r="N243" s="496"/>
      <c r="O243" s="496"/>
      <c r="P243" s="496"/>
      <c r="Q243" s="496"/>
      <c r="R243" s="496"/>
      <c r="S243" s="496"/>
      <c r="T243" s="496"/>
      <c r="U243" s="496"/>
      <c r="V243" s="496"/>
      <c r="W243" s="496"/>
      <c r="X243" s="496"/>
      <c r="Y243" s="496"/>
      <c r="Z243" s="496"/>
      <c r="AA243" s="496"/>
      <c r="AB243" s="496"/>
      <c r="AC243" s="496"/>
      <c r="AD243" s="496"/>
      <c r="AE243" s="496"/>
      <c r="AF243" s="496"/>
      <c r="AG243" s="496"/>
      <c r="AH243" s="496"/>
      <c r="AI243" s="496"/>
      <c r="AJ243" s="496"/>
      <c r="AK243" s="496"/>
      <c r="AL243" s="496"/>
      <c r="AM243" s="496"/>
      <c r="AN243" s="496"/>
      <c r="AO243" s="496"/>
      <c r="AP243" s="496"/>
      <c r="AQ243" s="496"/>
      <c r="AR243" s="496"/>
      <c r="AS243" s="496"/>
      <c r="AT243" s="496"/>
      <c r="AU243" s="496"/>
      <c r="AV243" s="496"/>
      <c r="AW243" s="496"/>
      <c r="AX243" s="496"/>
      <c r="AY243" s="496"/>
      <c r="AZ243" s="496"/>
      <c r="BA243" s="496"/>
      <c r="BB243" s="496"/>
      <c r="BC243" s="496"/>
      <c r="BD243" s="496"/>
      <c r="BE243" s="496"/>
      <c r="BF243" s="496"/>
      <c r="BG243" s="496"/>
      <c r="BH243" s="496"/>
      <c r="BI243" s="496"/>
      <c r="BJ243" s="496"/>
      <c r="BK243" s="496"/>
      <c r="BL243" s="496"/>
      <c r="BM243" s="496"/>
      <c r="BN243" s="496"/>
      <c r="BO243" s="496"/>
      <c r="BP243" s="496"/>
      <c r="BQ243" s="496"/>
      <c r="BR243" s="496"/>
      <c r="BS243" s="496"/>
      <c r="BT243" s="496"/>
      <c r="BU243" s="496"/>
      <c r="BV243" s="496"/>
      <c r="BW243" s="496"/>
      <c r="BX243" s="496"/>
      <c r="BY243" s="496"/>
      <c r="BZ243" s="496"/>
      <c r="CA243" s="496"/>
    </row>
    <row r="244" spans="7:79">
      <c r="G244" s="496"/>
      <c r="H244" s="496"/>
      <c r="I244" s="496"/>
      <c r="J244" s="496"/>
      <c r="K244" s="496"/>
      <c r="L244" s="496"/>
      <c r="M244" s="496"/>
      <c r="N244" s="496"/>
      <c r="O244" s="496"/>
      <c r="P244" s="496"/>
      <c r="Q244" s="496"/>
      <c r="R244" s="496"/>
      <c r="S244" s="496"/>
      <c r="T244" s="496"/>
      <c r="U244" s="496"/>
      <c r="V244" s="496"/>
      <c r="W244" s="496"/>
      <c r="X244" s="496"/>
      <c r="Y244" s="496"/>
      <c r="Z244" s="496"/>
      <c r="AA244" s="496"/>
      <c r="AB244" s="496"/>
      <c r="AC244" s="496"/>
      <c r="AD244" s="496"/>
      <c r="AE244" s="496"/>
      <c r="AF244" s="496"/>
      <c r="AG244" s="496"/>
      <c r="AH244" s="496"/>
      <c r="AI244" s="496"/>
      <c r="AJ244" s="496"/>
      <c r="AK244" s="496"/>
      <c r="AL244" s="496"/>
      <c r="AM244" s="496"/>
      <c r="AN244" s="496"/>
      <c r="AO244" s="496"/>
      <c r="AP244" s="496"/>
      <c r="AQ244" s="496"/>
      <c r="AR244" s="496"/>
      <c r="AS244" s="496"/>
      <c r="AT244" s="496"/>
      <c r="AU244" s="496"/>
      <c r="AV244" s="496"/>
      <c r="AW244" s="496"/>
      <c r="AX244" s="496"/>
      <c r="AY244" s="496"/>
      <c r="AZ244" s="496"/>
      <c r="BA244" s="496"/>
      <c r="BB244" s="496"/>
      <c r="BC244" s="496"/>
      <c r="BD244" s="496"/>
      <c r="BE244" s="496"/>
      <c r="BF244" s="496"/>
      <c r="BG244" s="496"/>
      <c r="BH244" s="496"/>
      <c r="BI244" s="496"/>
      <c r="BJ244" s="496"/>
      <c r="BK244" s="496"/>
      <c r="BL244" s="496"/>
      <c r="BM244" s="496"/>
      <c r="BN244" s="496"/>
      <c r="BO244" s="496"/>
      <c r="BP244" s="496"/>
      <c r="BQ244" s="496"/>
      <c r="BR244" s="496"/>
      <c r="BS244" s="496"/>
      <c r="BT244" s="496"/>
      <c r="BU244" s="496"/>
      <c r="BV244" s="496"/>
      <c r="BW244" s="496"/>
      <c r="BX244" s="496"/>
      <c r="BY244" s="496"/>
      <c r="BZ244" s="496"/>
      <c r="CA244" s="496"/>
    </row>
    <row r="245" spans="7:79">
      <c r="G245" s="496"/>
      <c r="H245" s="496"/>
      <c r="I245" s="496"/>
      <c r="J245" s="496"/>
      <c r="K245" s="496"/>
      <c r="L245" s="496"/>
      <c r="M245" s="496"/>
      <c r="N245" s="496"/>
      <c r="O245" s="496"/>
      <c r="P245" s="496"/>
      <c r="Q245" s="496"/>
      <c r="R245" s="496"/>
      <c r="S245" s="496"/>
      <c r="T245" s="496"/>
      <c r="U245" s="496"/>
      <c r="V245" s="496"/>
      <c r="W245" s="496"/>
      <c r="X245" s="496"/>
      <c r="Y245" s="496"/>
      <c r="Z245" s="496"/>
      <c r="AA245" s="496"/>
      <c r="AB245" s="496"/>
      <c r="AC245" s="496"/>
      <c r="AD245" s="496"/>
      <c r="AE245" s="496"/>
      <c r="AF245" s="496"/>
      <c r="AG245" s="496"/>
      <c r="AH245" s="496"/>
      <c r="AI245" s="496"/>
      <c r="AJ245" s="496"/>
      <c r="AK245" s="496"/>
      <c r="AL245" s="496"/>
      <c r="AM245" s="496"/>
      <c r="AN245" s="496"/>
      <c r="AO245" s="496"/>
      <c r="AP245" s="496"/>
      <c r="AQ245" s="496"/>
      <c r="AR245" s="496"/>
      <c r="AS245" s="496"/>
      <c r="AT245" s="496"/>
      <c r="AU245" s="496"/>
      <c r="AV245" s="496"/>
      <c r="AW245" s="496"/>
      <c r="AX245" s="496"/>
      <c r="AY245" s="496"/>
      <c r="AZ245" s="496"/>
      <c r="BA245" s="496"/>
      <c r="BB245" s="496"/>
      <c r="BC245" s="496"/>
      <c r="BD245" s="496"/>
      <c r="BE245" s="496"/>
      <c r="BF245" s="496"/>
      <c r="BG245" s="496"/>
      <c r="BH245" s="496"/>
      <c r="BI245" s="496"/>
      <c r="BJ245" s="496"/>
      <c r="BK245" s="496"/>
      <c r="BL245" s="496"/>
      <c r="BM245" s="496"/>
      <c r="BN245" s="496"/>
      <c r="BO245" s="496"/>
      <c r="BP245" s="496"/>
      <c r="BQ245" s="496"/>
      <c r="BR245" s="496"/>
      <c r="BS245" s="496"/>
      <c r="BT245" s="496"/>
      <c r="BU245" s="496"/>
      <c r="BV245" s="496"/>
      <c r="BW245" s="496"/>
      <c r="BX245" s="496"/>
      <c r="BY245" s="496"/>
      <c r="BZ245" s="496"/>
      <c r="CA245" s="496"/>
    </row>
    <row r="246" spans="7:79">
      <c r="G246" s="496"/>
      <c r="H246" s="496"/>
      <c r="I246" s="496"/>
      <c r="J246" s="496"/>
      <c r="K246" s="496"/>
      <c r="L246" s="496"/>
      <c r="M246" s="496"/>
      <c r="N246" s="496"/>
      <c r="O246" s="496"/>
      <c r="P246" s="496"/>
      <c r="Q246" s="496"/>
      <c r="R246" s="496"/>
      <c r="S246" s="496"/>
      <c r="T246" s="496"/>
      <c r="U246" s="496"/>
      <c r="V246" s="496"/>
      <c r="W246" s="496"/>
      <c r="X246" s="496"/>
      <c r="Y246" s="496"/>
      <c r="Z246" s="496"/>
      <c r="AA246" s="496"/>
      <c r="AB246" s="496"/>
      <c r="AC246" s="496"/>
      <c r="AD246" s="496"/>
      <c r="AE246" s="496"/>
      <c r="AF246" s="496"/>
      <c r="AG246" s="496"/>
      <c r="AH246" s="496"/>
      <c r="AI246" s="496"/>
      <c r="AJ246" s="496"/>
      <c r="AK246" s="496"/>
      <c r="AL246" s="496"/>
      <c r="AM246" s="496"/>
      <c r="AN246" s="496"/>
      <c r="AO246" s="496"/>
      <c r="AP246" s="496"/>
      <c r="AQ246" s="496"/>
      <c r="AR246" s="496"/>
      <c r="AS246" s="496"/>
      <c r="AT246" s="496"/>
      <c r="AU246" s="496"/>
      <c r="AV246" s="496"/>
      <c r="AW246" s="496"/>
      <c r="AX246" s="496"/>
      <c r="AY246" s="496"/>
      <c r="AZ246" s="496"/>
      <c r="BA246" s="496"/>
      <c r="BB246" s="496"/>
      <c r="BC246" s="496"/>
      <c r="BD246" s="496"/>
      <c r="BE246" s="496"/>
      <c r="BF246" s="496"/>
      <c r="BG246" s="496"/>
      <c r="BH246" s="496"/>
      <c r="BI246" s="496"/>
      <c r="BJ246" s="496"/>
      <c r="BK246" s="496"/>
      <c r="BL246" s="496"/>
      <c r="BM246" s="496"/>
      <c r="BN246" s="496"/>
      <c r="BO246" s="496"/>
      <c r="BP246" s="496"/>
      <c r="BQ246" s="496"/>
      <c r="BR246" s="496"/>
      <c r="BS246" s="496"/>
      <c r="BT246" s="496"/>
      <c r="BU246" s="496"/>
      <c r="BV246" s="496"/>
      <c r="BW246" s="496"/>
      <c r="BX246" s="496"/>
      <c r="BY246" s="496"/>
      <c r="BZ246" s="496"/>
      <c r="CA246" s="496"/>
    </row>
    <row r="247" spans="7:79">
      <c r="G247" s="496"/>
      <c r="H247" s="496"/>
      <c r="I247" s="496"/>
      <c r="J247" s="496"/>
      <c r="K247" s="496"/>
      <c r="L247" s="496"/>
      <c r="M247" s="496"/>
      <c r="N247" s="496"/>
      <c r="O247" s="496"/>
      <c r="P247" s="496"/>
      <c r="Q247" s="496"/>
      <c r="R247" s="496"/>
      <c r="S247" s="496"/>
      <c r="T247" s="496"/>
      <c r="U247" s="496"/>
      <c r="V247" s="496"/>
      <c r="W247" s="496"/>
      <c r="X247" s="496"/>
      <c r="Y247" s="496"/>
      <c r="Z247" s="496"/>
      <c r="AA247" s="496"/>
      <c r="AB247" s="496"/>
      <c r="AC247" s="496"/>
      <c r="AD247" s="496"/>
      <c r="AE247" s="496"/>
      <c r="AF247" s="496"/>
      <c r="AG247" s="496"/>
      <c r="AH247" s="496"/>
      <c r="AI247" s="496"/>
      <c r="AJ247" s="496"/>
      <c r="AK247" s="496"/>
      <c r="AL247" s="496"/>
      <c r="AM247" s="496"/>
      <c r="AN247" s="496"/>
      <c r="AO247" s="496"/>
      <c r="AP247" s="496"/>
      <c r="AQ247" s="496"/>
      <c r="AR247" s="496"/>
      <c r="AS247" s="496"/>
      <c r="AT247" s="496"/>
      <c r="AU247" s="496"/>
      <c r="AV247" s="496"/>
      <c r="AW247" s="496"/>
      <c r="AX247" s="496"/>
      <c r="AY247" s="496"/>
      <c r="AZ247" s="496"/>
      <c r="BA247" s="496"/>
      <c r="BB247" s="496"/>
      <c r="BC247" s="496"/>
      <c r="BD247" s="496"/>
      <c r="BE247" s="496"/>
      <c r="BF247" s="496"/>
      <c r="BG247" s="496"/>
      <c r="BH247" s="496"/>
      <c r="BI247" s="496"/>
      <c r="BJ247" s="496"/>
      <c r="BK247" s="496"/>
      <c r="BL247" s="496"/>
      <c r="BM247" s="496"/>
      <c r="BN247" s="496"/>
      <c r="BO247" s="496"/>
      <c r="BP247" s="496"/>
      <c r="BQ247" s="496"/>
      <c r="BR247" s="496"/>
      <c r="BS247" s="496"/>
      <c r="BT247" s="496"/>
      <c r="BU247" s="496"/>
      <c r="BV247" s="496"/>
      <c r="BW247" s="496"/>
      <c r="BX247" s="496"/>
      <c r="BY247" s="496"/>
      <c r="BZ247" s="496"/>
      <c r="CA247" s="496"/>
    </row>
    <row r="248" spans="7:79">
      <c r="G248" s="496"/>
      <c r="H248" s="496"/>
      <c r="I248" s="496"/>
      <c r="J248" s="496"/>
      <c r="K248" s="496"/>
      <c r="L248" s="496"/>
      <c r="M248" s="496"/>
      <c r="N248" s="496"/>
      <c r="O248" s="496"/>
      <c r="P248" s="496"/>
      <c r="Q248" s="496"/>
      <c r="R248" s="496"/>
      <c r="S248" s="496"/>
      <c r="T248" s="496"/>
      <c r="U248" s="496"/>
      <c r="V248" s="496"/>
      <c r="W248" s="496"/>
      <c r="X248" s="496"/>
      <c r="Y248" s="496"/>
      <c r="Z248" s="496"/>
      <c r="AA248" s="496"/>
      <c r="AB248" s="496"/>
      <c r="AC248" s="496"/>
      <c r="AD248" s="496"/>
      <c r="AE248" s="496"/>
      <c r="AF248" s="496"/>
      <c r="AG248" s="496"/>
      <c r="AH248" s="496"/>
      <c r="AI248" s="496"/>
      <c r="AJ248" s="496"/>
      <c r="AK248" s="496"/>
      <c r="AL248" s="496"/>
      <c r="AM248" s="496"/>
      <c r="AN248" s="496"/>
      <c r="AO248" s="496"/>
      <c r="AP248" s="496"/>
      <c r="AQ248" s="496"/>
      <c r="AR248" s="496"/>
      <c r="AS248" s="496"/>
      <c r="AT248" s="496"/>
      <c r="AU248" s="496"/>
      <c r="AV248" s="496"/>
      <c r="AW248" s="496"/>
      <c r="AX248" s="496"/>
      <c r="AY248" s="496"/>
      <c r="AZ248" s="496"/>
      <c r="BA248" s="496"/>
      <c r="BB248" s="496"/>
      <c r="BC248" s="496"/>
      <c r="BD248" s="496"/>
      <c r="BE248" s="496"/>
      <c r="BF248" s="496"/>
      <c r="BG248" s="496"/>
      <c r="BH248" s="496"/>
      <c r="BI248" s="496"/>
      <c r="BJ248" s="496"/>
      <c r="BK248" s="496"/>
      <c r="BL248" s="496"/>
      <c r="BM248" s="496"/>
      <c r="BN248" s="496"/>
      <c r="BO248" s="496"/>
      <c r="BP248" s="496"/>
      <c r="BQ248" s="496"/>
      <c r="BR248" s="496"/>
      <c r="BS248" s="496"/>
      <c r="BT248" s="496"/>
      <c r="BU248" s="496"/>
      <c r="BV248" s="496"/>
      <c r="BW248" s="496"/>
      <c r="BX248" s="496"/>
      <c r="BY248" s="496"/>
      <c r="BZ248" s="496"/>
      <c r="CA248" s="496"/>
    </row>
    <row r="249" spans="7:79">
      <c r="G249" s="496"/>
      <c r="H249" s="496"/>
      <c r="I249" s="496"/>
      <c r="J249" s="496"/>
      <c r="K249" s="496"/>
      <c r="L249" s="496"/>
      <c r="M249" s="496"/>
      <c r="N249" s="496"/>
      <c r="O249" s="496"/>
      <c r="P249" s="496"/>
      <c r="Q249" s="496"/>
      <c r="R249" s="496"/>
      <c r="S249" s="496"/>
      <c r="T249" s="496"/>
      <c r="U249" s="496"/>
      <c r="V249" s="496"/>
      <c r="W249" s="496"/>
      <c r="X249" s="496"/>
      <c r="Y249" s="496"/>
      <c r="Z249" s="496"/>
      <c r="AA249" s="496"/>
      <c r="AB249" s="496"/>
      <c r="AC249" s="496"/>
      <c r="AD249" s="496"/>
      <c r="AE249" s="496"/>
      <c r="AF249" s="496"/>
      <c r="AG249" s="496"/>
      <c r="AH249" s="496"/>
      <c r="AI249" s="496"/>
      <c r="AJ249" s="496"/>
      <c r="AK249" s="496"/>
      <c r="AL249" s="496"/>
      <c r="AM249" s="496"/>
      <c r="AN249" s="496"/>
      <c r="AO249" s="496"/>
      <c r="AP249" s="496"/>
      <c r="AQ249" s="496"/>
      <c r="AR249" s="496"/>
      <c r="AS249" s="496"/>
      <c r="AT249" s="496"/>
      <c r="AU249" s="496"/>
      <c r="AV249" s="496"/>
      <c r="AW249" s="496"/>
      <c r="AX249" s="496"/>
      <c r="AY249" s="496"/>
      <c r="AZ249" s="496"/>
      <c r="BA249" s="496"/>
      <c r="BB249" s="496"/>
      <c r="BC249" s="496"/>
      <c r="BD249" s="496"/>
      <c r="BE249" s="496"/>
      <c r="BF249" s="496"/>
      <c r="BG249" s="496"/>
      <c r="BH249" s="496"/>
      <c r="BI249" s="496"/>
      <c r="BJ249" s="496"/>
      <c r="BK249" s="496"/>
      <c r="BL249" s="496"/>
      <c r="BM249" s="496"/>
      <c r="BN249" s="496"/>
      <c r="BO249" s="496"/>
      <c r="BP249" s="496"/>
      <c r="BQ249" s="496"/>
      <c r="BR249" s="496"/>
      <c r="BS249" s="496"/>
      <c r="BT249" s="496"/>
      <c r="BU249" s="496"/>
      <c r="BV249" s="496"/>
      <c r="BW249" s="496"/>
      <c r="BX249" s="496"/>
      <c r="BY249" s="496"/>
      <c r="BZ249" s="496"/>
      <c r="CA249" s="496"/>
    </row>
    <row r="250" spans="7:79">
      <c r="G250" s="496"/>
      <c r="H250" s="496"/>
      <c r="I250" s="496"/>
      <c r="J250" s="496"/>
      <c r="K250" s="496"/>
      <c r="L250" s="496"/>
      <c r="M250" s="496"/>
      <c r="N250" s="496"/>
      <c r="O250" s="496"/>
      <c r="P250" s="496"/>
      <c r="Q250" s="496"/>
      <c r="R250" s="496"/>
      <c r="S250" s="496"/>
      <c r="T250" s="496"/>
      <c r="U250" s="496"/>
      <c r="V250" s="496"/>
      <c r="W250" s="496"/>
      <c r="X250" s="496"/>
      <c r="Y250" s="496"/>
      <c r="Z250" s="496"/>
      <c r="AA250" s="496"/>
      <c r="AB250" s="496"/>
      <c r="AC250" s="496"/>
      <c r="AD250" s="496"/>
      <c r="AE250" s="496"/>
      <c r="AF250" s="496"/>
      <c r="AG250" s="496"/>
      <c r="AH250" s="496"/>
      <c r="AI250" s="496"/>
      <c r="AJ250" s="496"/>
      <c r="AK250" s="496"/>
      <c r="AL250" s="496"/>
      <c r="AM250" s="496"/>
      <c r="AN250" s="496"/>
      <c r="AO250" s="496"/>
      <c r="AP250" s="496"/>
      <c r="AQ250" s="496"/>
      <c r="AR250" s="496"/>
      <c r="AS250" s="496"/>
      <c r="AT250" s="496"/>
      <c r="AU250" s="496"/>
      <c r="AV250" s="496"/>
      <c r="AW250" s="496"/>
      <c r="AX250" s="496"/>
      <c r="AY250" s="496"/>
      <c r="AZ250" s="496"/>
      <c r="BA250" s="496"/>
      <c r="BB250" s="496"/>
      <c r="BC250" s="496"/>
      <c r="BD250" s="496"/>
      <c r="BE250" s="496"/>
      <c r="BF250" s="496"/>
      <c r="BG250" s="496"/>
      <c r="BH250" s="496"/>
      <c r="BI250" s="496"/>
      <c r="BJ250" s="496"/>
      <c r="BK250" s="496"/>
      <c r="BL250" s="496"/>
      <c r="BM250" s="496"/>
      <c r="BN250" s="496"/>
      <c r="BO250" s="496"/>
      <c r="BP250" s="496"/>
      <c r="BQ250" s="496"/>
      <c r="BR250" s="496"/>
      <c r="BS250" s="496"/>
      <c r="BT250" s="496"/>
      <c r="BU250" s="496"/>
      <c r="BV250" s="496"/>
      <c r="BW250" s="496"/>
      <c r="BX250" s="496"/>
      <c r="BY250" s="496"/>
      <c r="BZ250" s="496"/>
      <c r="CA250" s="496"/>
    </row>
    <row r="251" spans="7:79">
      <c r="G251" s="496"/>
      <c r="H251" s="496"/>
      <c r="I251" s="496"/>
      <c r="J251" s="496"/>
      <c r="K251" s="496"/>
      <c r="L251" s="496"/>
      <c r="M251" s="496"/>
      <c r="N251" s="496"/>
      <c r="O251" s="496"/>
      <c r="P251" s="496"/>
      <c r="Q251" s="496"/>
      <c r="R251" s="496"/>
      <c r="S251" s="496"/>
      <c r="T251" s="496"/>
      <c r="U251" s="496"/>
      <c r="V251" s="496"/>
      <c r="W251" s="496"/>
      <c r="X251" s="496"/>
      <c r="Y251" s="496"/>
      <c r="Z251" s="496"/>
      <c r="AA251" s="496"/>
      <c r="AB251" s="496"/>
      <c r="AC251" s="496"/>
      <c r="AD251" s="496"/>
      <c r="AE251" s="496"/>
      <c r="AF251" s="496"/>
      <c r="AG251" s="496"/>
      <c r="AH251" s="496"/>
      <c r="AI251" s="496"/>
      <c r="AJ251" s="496"/>
      <c r="AK251" s="496"/>
      <c r="AL251" s="496"/>
      <c r="AM251" s="496"/>
      <c r="AN251" s="496"/>
      <c r="AO251" s="496"/>
      <c r="AP251" s="496"/>
      <c r="AQ251" s="496"/>
      <c r="AR251" s="496"/>
      <c r="AS251" s="496"/>
      <c r="AT251" s="496"/>
      <c r="AU251" s="496"/>
      <c r="AV251" s="496"/>
      <c r="AW251" s="496"/>
      <c r="AX251" s="496"/>
      <c r="AY251" s="496"/>
      <c r="AZ251" s="496"/>
      <c r="BA251" s="496"/>
      <c r="BB251" s="496"/>
      <c r="BC251" s="496"/>
      <c r="BD251" s="496"/>
      <c r="BE251" s="496"/>
      <c r="BF251" s="496"/>
      <c r="BG251" s="496"/>
      <c r="BH251" s="496"/>
      <c r="BI251" s="496"/>
      <c r="BJ251" s="496"/>
      <c r="BK251" s="496"/>
      <c r="BL251" s="496"/>
      <c r="BM251" s="496"/>
      <c r="BN251" s="496"/>
      <c r="BO251" s="496"/>
      <c r="BP251" s="496"/>
      <c r="BQ251" s="496"/>
      <c r="BR251" s="496"/>
      <c r="BS251" s="496"/>
      <c r="BT251" s="496"/>
      <c r="BU251" s="496"/>
      <c r="BV251" s="496"/>
      <c r="BW251" s="496"/>
      <c r="BX251" s="496"/>
      <c r="BY251" s="496"/>
      <c r="BZ251" s="496"/>
      <c r="CA251" s="496"/>
    </row>
    <row r="252" spans="7:79">
      <c r="G252" s="496"/>
      <c r="H252" s="496"/>
      <c r="I252" s="496"/>
      <c r="J252" s="496"/>
      <c r="K252" s="496"/>
      <c r="L252" s="496"/>
      <c r="M252" s="496"/>
      <c r="N252" s="496"/>
      <c r="O252" s="496"/>
      <c r="P252" s="496"/>
      <c r="Q252" s="496"/>
      <c r="R252" s="496"/>
      <c r="S252" s="496"/>
      <c r="T252" s="496"/>
      <c r="U252" s="496"/>
      <c r="V252" s="496"/>
      <c r="W252" s="496"/>
      <c r="X252" s="496"/>
      <c r="Y252" s="496"/>
      <c r="Z252" s="496"/>
      <c r="AA252" s="496"/>
      <c r="AB252" s="496"/>
      <c r="AC252" s="496"/>
      <c r="AD252" s="496"/>
      <c r="AE252" s="496"/>
      <c r="AF252" s="496"/>
      <c r="AG252" s="496"/>
      <c r="AH252" s="496"/>
      <c r="AI252" s="496"/>
      <c r="AJ252" s="496"/>
      <c r="AK252" s="496"/>
      <c r="AL252" s="496"/>
      <c r="AM252" s="496"/>
      <c r="AN252" s="496"/>
      <c r="AO252" s="496"/>
      <c r="AP252" s="496"/>
      <c r="AQ252" s="496"/>
      <c r="AR252" s="496"/>
      <c r="AS252" s="496"/>
      <c r="AT252" s="496"/>
      <c r="AU252" s="496"/>
      <c r="AV252" s="496"/>
      <c r="AW252" s="496"/>
      <c r="AX252" s="496"/>
      <c r="AY252" s="496"/>
      <c r="AZ252" s="496"/>
      <c r="BA252" s="496"/>
      <c r="BB252" s="496"/>
      <c r="BC252" s="496"/>
      <c r="BD252" s="496"/>
      <c r="BE252" s="496"/>
      <c r="BF252" s="496"/>
      <c r="BG252" s="496"/>
      <c r="BH252" s="496"/>
      <c r="BI252" s="496"/>
      <c r="BJ252" s="496"/>
      <c r="BK252" s="496"/>
      <c r="BL252" s="496"/>
      <c r="BM252" s="496"/>
      <c r="BN252" s="496"/>
      <c r="BO252" s="496"/>
      <c r="BP252" s="496"/>
      <c r="BQ252" s="496"/>
      <c r="BR252" s="496"/>
      <c r="BS252" s="496"/>
      <c r="BT252" s="496"/>
      <c r="BU252" s="496"/>
      <c r="BV252" s="496"/>
      <c r="BW252" s="496"/>
      <c r="BX252" s="496"/>
      <c r="BY252" s="496"/>
      <c r="BZ252" s="496"/>
      <c r="CA252" s="496"/>
    </row>
    <row r="253" spans="7:79">
      <c r="G253" s="496"/>
      <c r="H253" s="496"/>
      <c r="I253" s="496"/>
      <c r="J253" s="496"/>
      <c r="K253" s="496"/>
      <c r="L253" s="496"/>
      <c r="M253" s="496"/>
      <c r="N253" s="496"/>
      <c r="O253" s="496"/>
      <c r="P253" s="496"/>
      <c r="Q253" s="496"/>
      <c r="R253" s="496"/>
      <c r="S253" s="496"/>
      <c r="T253" s="496"/>
      <c r="U253" s="496"/>
      <c r="V253" s="496"/>
      <c r="W253" s="496"/>
      <c r="X253" s="496"/>
      <c r="Y253" s="496"/>
      <c r="Z253" s="496"/>
      <c r="AA253" s="496"/>
      <c r="AB253" s="496"/>
      <c r="AC253" s="496"/>
      <c r="AD253" s="496"/>
      <c r="AE253" s="496"/>
      <c r="AF253" s="496"/>
      <c r="AG253" s="496"/>
      <c r="AH253" s="496"/>
      <c r="AI253" s="496"/>
      <c r="AJ253" s="496"/>
      <c r="AK253" s="496"/>
      <c r="AL253" s="496"/>
      <c r="AM253" s="496"/>
      <c r="AN253" s="496"/>
      <c r="AO253" s="496"/>
      <c r="AP253" s="496"/>
      <c r="AQ253" s="496"/>
      <c r="AR253" s="496"/>
      <c r="AS253" s="496"/>
      <c r="AT253" s="496"/>
      <c r="AU253" s="496"/>
      <c r="AV253" s="496"/>
      <c r="AW253" s="496"/>
      <c r="AX253" s="496"/>
      <c r="AY253" s="496"/>
      <c r="AZ253" s="496"/>
      <c r="BA253" s="496"/>
      <c r="BB253" s="496"/>
      <c r="BC253" s="496"/>
      <c r="BD253" s="496"/>
      <c r="BE253" s="496"/>
      <c r="BF253" s="496"/>
      <c r="BG253" s="496"/>
      <c r="BH253" s="496"/>
      <c r="BI253" s="496"/>
      <c r="BJ253" s="496"/>
      <c r="BK253" s="496"/>
      <c r="BL253" s="496"/>
      <c r="BM253" s="496"/>
      <c r="BN253" s="496"/>
      <c r="BO253" s="496"/>
      <c r="BP253" s="496"/>
      <c r="BQ253" s="496"/>
      <c r="BR253" s="496"/>
      <c r="BS253" s="496"/>
      <c r="BT253" s="496"/>
      <c r="BU253" s="496"/>
      <c r="BV253" s="496"/>
      <c r="BW253" s="496"/>
      <c r="BX253" s="496"/>
      <c r="BY253" s="496"/>
      <c r="BZ253" s="496"/>
      <c r="CA253" s="496"/>
    </row>
    <row r="254" spans="7:79">
      <c r="G254" s="496"/>
      <c r="H254" s="496"/>
      <c r="I254" s="496"/>
      <c r="J254" s="496"/>
      <c r="K254" s="496"/>
      <c r="L254" s="496"/>
      <c r="M254" s="496"/>
      <c r="N254" s="496"/>
      <c r="O254" s="496"/>
      <c r="P254" s="496"/>
      <c r="Q254" s="496"/>
      <c r="R254" s="496"/>
      <c r="S254" s="496"/>
      <c r="T254" s="496"/>
      <c r="U254" s="496"/>
      <c r="V254" s="496"/>
      <c r="W254" s="496"/>
      <c r="X254" s="496"/>
      <c r="Y254" s="496"/>
      <c r="Z254" s="496"/>
      <c r="AA254" s="496"/>
      <c r="AB254" s="496"/>
      <c r="AC254" s="496"/>
      <c r="AD254" s="496"/>
      <c r="AE254" s="496"/>
      <c r="AF254" s="496"/>
      <c r="AG254" s="496"/>
      <c r="AH254" s="496"/>
      <c r="AI254" s="496"/>
      <c r="AJ254" s="496"/>
      <c r="AK254" s="496"/>
      <c r="AL254" s="496"/>
      <c r="AM254" s="496"/>
      <c r="AN254" s="496"/>
      <c r="AO254" s="496"/>
      <c r="AP254" s="496"/>
      <c r="AQ254" s="496"/>
      <c r="AR254" s="496"/>
      <c r="AS254" s="496"/>
      <c r="AT254" s="496"/>
      <c r="AU254" s="496"/>
      <c r="AV254" s="496"/>
      <c r="AW254" s="496"/>
      <c r="AX254" s="496"/>
      <c r="AY254" s="496"/>
      <c r="AZ254" s="496"/>
      <c r="BA254" s="496"/>
      <c r="BB254" s="496"/>
      <c r="BC254" s="496"/>
      <c r="BD254" s="496"/>
      <c r="BE254" s="496"/>
      <c r="BF254" s="496"/>
      <c r="BG254" s="496"/>
      <c r="BH254" s="496"/>
      <c r="BI254" s="496"/>
      <c r="BJ254" s="496"/>
      <c r="BK254" s="496"/>
      <c r="BL254" s="496"/>
      <c r="BM254" s="496"/>
      <c r="BN254" s="496"/>
      <c r="BO254" s="496"/>
      <c r="BP254" s="496"/>
      <c r="BQ254" s="496"/>
      <c r="BR254" s="496"/>
      <c r="BS254" s="496"/>
      <c r="BT254" s="496"/>
      <c r="BU254" s="496"/>
      <c r="BV254" s="496"/>
      <c r="BW254" s="496"/>
      <c r="BX254" s="496"/>
      <c r="BY254" s="496"/>
      <c r="BZ254" s="496"/>
      <c r="CA254" s="496"/>
    </row>
    <row r="255" spans="7:79">
      <c r="G255" s="496"/>
      <c r="H255" s="496"/>
      <c r="I255" s="496"/>
      <c r="J255" s="496"/>
      <c r="K255" s="496"/>
      <c r="L255" s="496"/>
      <c r="M255" s="496"/>
      <c r="N255" s="496"/>
      <c r="O255" s="496"/>
      <c r="P255" s="496"/>
      <c r="Q255" s="496"/>
      <c r="R255" s="496"/>
      <c r="S255" s="496"/>
      <c r="T255" s="496"/>
      <c r="U255" s="496"/>
      <c r="V255" s="496"/>
      <c r="W255" s="496"/>
      <c r="X255" s="496"/>
      <c r="Y255" s="496"/>
      <c r="Z255" s="496"/>
      <c r="AA255" s="496"/>
      <c r="AB255" s="496"/>
      <c r="AC255" s="496"/>
      <c r="AD255" s="496"/>
      <c r="AE255" s="496"/>
      <c r="AF255" s="496"/>
      <c r="AG255" s="496"/>
      <c r="AH255" s="496"/>
      <c r="AI255" s="496"/>
      <c r="AJ255" s="496"/>
      <c r="AK255" s="496"/>
      <c r="AL255" s="496"/>
      <c r="AM255" s="496"/>
      <c r="AN255" s="496"/>
      <c r="AO255" s="496"/>
      <c r="AP255" s="496"/>
      <c r="AQ255" s="496"/>
      <c r="AR255" s="496"/>
      <c r="AS255" s="496"/>
      <c r="AT255" s="496"/>
      <c r="AU255" s="496"/>
      <c r="AV255" s="496"/>
      <c r="AW255" s="496"/>
      <c r="AX255" s="496"/>
      <c r="AY255" s="496"/>
      <c r="AZ255" s="496"/>
      <c r="BA255" s="496"/>
      <c r="BB255" s="496"/>
      <c r="BC255" s="496"/>
      <c r="BD255" s="496"/>
      <c r="BE255" s="496"/>
      <c r="BF255" s="496"/>
      <c r="BG255" s="496"/>
      <c r="BH255" s="496"/>
      <c r="BI255" s="496"/>
      <c r="BJ255" s="496"/>
      <c r="BK255" s="496"/>
      <c r="BL255" s="496"/>
      <c r="BM255" s="496"/>
      <c r="BN255" s="496"/>
      <c r="BO255" s="496"/>
      <c r="BP255" s="496"/>
      <c r="BQ255" s="496"/>
      <c r="BR255" s="496"/>
      <c r="BS255" s="496"/>
      <c r="BT255" s="496"/>
      <c r="BU255" s="496"/>
      <c r="BV255" s="496"/>
      <c r="BW255" s="496"/>
      <c r="BX255" s="496"/>
      <c r="BY255" s="496"/>
      <c r="BZ255" s="496"/>
      <c r="CA255" s="496"/>
    </row>
    <row r="256" spans="7:79">
      <c r="G256" s="496"/>
      <c r="H256" s="496"/>
      <c r="I256" s="496"/>
      <c r="J256" s="496"/>
      <c r="K256" s="496"/>
      <c r="L256" s="496"/>
      <c r="M256" s="496"/>
      <c r="N256" s="496"/>
      <c r="O256" s="496"/>
      <c r="P256" s="496"/>
      <c r="Q256" s="496"/>
      <c r="R256" s="496"/>
      <c r="S256" s="496"/>
      <c r="T256" s="496"/>
      <c r="U256" s="496"/>
      <c r="V256" s="496"/>
      <c r="W256" s="496"/>
      <c r="X256" s="496"/>
      <c r="Y256" s="496"/>
      <c r="Z256" s="496"/>
      <c r="AA256" s="496"/>
      <c r="AB256" s="496"/>
      <c r="AC256" s="496"/>
      <c r="AD256" s="496"/>
      <c r="AE256" s="496"/>
      <c r="AF256" s="496"/>
      <c r="AG256" s="496"/>
      <c r="AH256" s="496"/>
      <c r="AI256" s="496"/>
      <c r="AJ256" s="496"/>
      <c r="AK256" s="496"/>
      <c r="AL256" s="496"/>
      <c r="AM256" s="496"/>
      <c r="AN256" s="496"/>
      <c r="AO256" s="496"/>
      <c r="AP256" s="496"/>
      <c r="AQ256" s="496"/>
      <c r="AR256" s="496"/>
      <c r="AS256" s="496"/>
      <c r="AT256" s="496"/>
      <c r="AU256" s="496"/>
      <c r="AV256" s="496"/>
      <c r="AW256" s="496"/>
      <c r="AX256" s="496"/>
      <c r="AY256" s="496"/>
      <c r="AZ256" s="496"/>
      <c r="BA256" s="496"/>
      <c r="BB256" s="496"/>
      <c r="BC256" s="496"/>
      <c r="BD256" s="496"/>
      <c r="BE256" s="496"/>
      <c r="BF256" s="496"/>
      <c r="BG256" s="496"/>
      <c r="BH256" s="496"/>
      <c r="BI256" s="496"/>
      <c r="BJ256" s="496"/>
      <c r="BK256" s="496"/>
      <c r="BL256" s="496"/>
      <c r="BM256" s="496"/>
      <c r="BN256" s="496"/>
      <c r="BO256" s="496"/>
      <c r="BP256" s="496"/>
      <c r="BQ256" s="496"/>
      <c r="BR256" s="496"/>
      <c r="BS256" s="496"/>
      <c r="BT256" s="496"/>
      <c r="BU256" s="496"/>
      <c r="BV256" s="496"/>
      <c r="BW256" s="496"/>
      <c r="BX256" s="496"/>
      <c r="BY256" s="496"/>
      <c r="BZ256" s="496"/>
      <c r="CA256" s="496"/>
    </row>
    <row r="257" spans="7:79">
      <c r="G257" s="496"/>
      <c r="H257" s="496"/>
      <c r="I257" s="496"/>
      <c r="J257" s="496"/>
      <c r="K257" s="496"/>
      <c r="L257" s="496"/>
      <c r="M257" s="496"/>
      <c r="N257" s="496"/>
      <c r="O257" s="496"/>
      <c r="P257" s="496"/>
      <c r="Q257" s="496"/>
      <c r="R257" s="496"/>
      <c r="S257" s="496"/>
      <c r="T257" s="496"/>
      <c r="U257" s="496"/>
      <c r="V257" s="496"/>
      <c r="W257" s="496"/>
      <c r="X257" s="496"/>
      <c r="Y257" s="496"/>
      <c r="Z257" s="496"/>
      <c r="AA257" s="496"/>
      <c r="AB257" s="496"/>
      <c r="AC257" s="496"/>
      <c r="AD257" s="496"/>
      <c r="AE257" s="496"/>
      <c r="AF257" s="496"/>
      <c r="AG257" s="496"/>
      <c r="AH257" s="496"/>
      <c r="AI257" s="496"/>
      <c r="AJ257" s="496"/>
      <c r="AK257" s="496"/>
      <c r="AL257" s="496"/>
      <c r="AM257" s="496"/>
      <c r="AN257" s="496"/>
      <c r="AO257" s="496"/>
      <c r="AP257" s="496"/>
      <c r="AQ257" s="496"/>
      <c r="AR257" s="496"/>
      <c r="AS257" s="496"/>
      <c r="AT257" s="496"/>
      <c r="AU257" s="496"/>
      <c r="AV257" s="496"/>
      <c r="AW257" s="496"/>
      <c r="AX257" s="496"/>
      <c r="AY257" s="496"/>
      <c r="AZ257" s="496"/>
      <c r="BA257" s="496"/>
      <c r="BB257" s="496"/>
      <c r="BC257" s="496"/>
      <c r="BD257" s="496"/>
      <c r="BE257" s="496"/>
      <c r="BF257" s="496"/>
      <c r="BG257" s="496"/>
      <c r="BH257" s="496"/>
      <c r="BI257" s="496"/>
      <c r="BJ257" s="496"/>
      <c r="BK257" s="496"/>
      <c r="BL257" s="496"/>
      <c r="BM257" s="496"/>
      <c r="BN257" s="496"/>
      <c r="BO257" s="496"/>
      <c r="BP257" s="496"/>
      <c r="BQ257" s="496"/>
      <c r="BR257" s="496"/>
      <c r="BS257" s="496"/>
      <c r="BT257" s="496"/>
      <c r="BU257" s="496"/>
      <c r="BV257" s="496"/>
      <c r="BW257" s="496"/>
      <c r="BX257" s="496"/>
      <c r="BY257" s="496"/>
      <c r="BZ257" s="496"/>
      <c r="CA257" s="496"/>
    </row>
    <row r="258" spans="7:79">
      <c r="G258" s="496"/>
      <c r="H258" s="496"/>
      <c r="I258" s="496"/>
      <c r="J258" s="496"/>
      <c r="K258" s="496"/>
      <c r="L258" s="496"/>
      <c r="M258" s="496"/>
      <c r="N258" s="496"/>
      <c r="O258" s="496"/>
      <c r="P258" s="496"/>
      <c r="Q258" s="496"/>
      <c r="R258" s="496"/>
      <c r="S258" s="496"/>
      <c r="T258" s="496"/>
      <c r="U258" s="496"/>
      <c r="V258" s="496"/>
      <c r="W258" s="496"/>
      <c r="X258" s="496"/>
      <c r="Y258" s="496"/>
      <c r="Z258" s="496"/>
      <c r="AA258" s="496"/>
      <c r="AB258" s="496"/>
      <c r="AC258" s="496"/>
      <c r="AD258" s="496"/>
      <c r="AE258" s="496"/>
      <c r="AF258" s="496"/>
      <c r="AG258" s="496"/>
      <c r="AH258" s="496"/>
      <c r="AI258" s="496"/>
      <c r="AJ258" s="496"/>
      <c r="AK258" s="496"/>
      <c r="AL258" s="496"/>
      <c r="AM258" s="496"/>
      <c r="AN258" s="496"/>
      <c r="AO258" s="496"/>
      <c r="AP258" s="496"/>
      <c r="AQ258" s="496"/>
      <c r="AR258" s="496"/>
      <c r="AS258" s="496"/>
      <c r="AT258" s="496"/>
      <c r="AU258" s="496"/>
      <c r="AV258" s="496"/>
      <c r="AW258" s="496"/>
      <c r="AX258" s="496"/>
      <c r="AY258" s="496"/>
      <c r="AZ258" s="496"/>
      <c r="BA258" s="496"/>
      <c r="BB258" s="496"/>
      <c r="BC258" s="496"/>
      <c r="BD258" s="496"/>
      <c r="BE258" s="496"/>
      <c r="BF258" s="496"/>
      <c r="BG258" s="496"/>
      <c r="BH258" s="496"/>
      <c r="BI258" s="496"/>
      <c r="BJ258" s="496"/>
      <c r="BK258" s="496"/>
      <c r="BL258" s="496"/>
      <c r="BM258" s="496"/>
      <c r="BN258" s="496"/>
      <c r="BO258" s="496"/>
      <c r="BP258" s="496"/>
      <c r="BQ258" s="496"/>
      <c r="BR258" s="496"/>
      <c r="BS258" s="496"/>
      <c r="BT258" s="496"/>
      <c r="BU258" s="496"/>
      <c r="BV258" s="496"/>
      <c r="BW258" s="496"/>
      <c r="BX258" s="496"/>
      <c r="BY258" s="496"/>
      <c r="BZ258" s="496"/>
      <c r="CA258" s="496"/>
    </row>
    <row r="259" spans="7:79">
      <c r="G259" s="496"/>
      <c r="H259" s="496"/>
      <c r="I259" s="496"/>
      <c r="J259" s="496"/>
      <c r="K259" s="496"/>
      <c r="L259" s="496"/>
      <c r="M259" s="496"/>
      <c r="N259" s="496"/>
      <c r="O259" s="496"/>
      <c r="P259" s="496"/>
      <c r="Q259" s="496"/>
      <c r="R259" s="496"/>
      <c r="S259" s="496"/>
      <c r="T259" s="496"/>
      <c r="U259" s="496"/>
      <c r="V259" s="496"/>
      <c r="W259" s="496"/>
      <c r="X259" s="496"/>
      <c r="Y259" s="496"/>
      <c r="Z259" s="496"/>
      <c r="AA259" s="496"/>
      <c r="AB259" s="496"/>
      <c r="AC259" s="496"/>
      <c r="AD259" s="496"/>
      <c r="AE259" s="496"/>
      <c r="AF259" s="496"/>
      <c r="AG259" s="496"/>
      <c r="AH259" s="496"/>
      <c r="AI259" s="496"/>
      <c r="AJ259" s="496"/>
      <c r="AK259" s="496"/>
      <c r="AL259" s="496"/>
      <c r="AM259" s="496"/>
      <c r="AN259" s="496"/>
      <c r="AO259" s="496"/>
      <c r="AP259" s="496"/>
      <c r="AQ259" s="496"/>
      <c r="AR259" s="496"/>
      <c r="AS259" s="496"/>
      <c r="AT259" s="496"/>
      <c r="AU259" s="496"/>
      <c r="AV259" s="496"/>
      <c r="AW259" s="496"/>
      <c r="AX259" s="496"/>
      <c r="AY259" s="496"/>
      <c r="AZ259" s="496"/>
      <c r="BA259" s="496"/>
      <c r="BB259" s="496"/>
      <c r="BC259" s="496"/>
      <c r="BD259" s="496"/>
      <c r="BE259" s="496"/>
      <c r="BF259" s="496"/>
      <c r="BG259" s="496"/>
      <c r="BH259" s="496"/>
      <c r="BI259" s="496"/>
      <c r="BJ259" s="496"/>
      <c r="BK259" s="496"/>
      <c r="BL259" s="496"/>
      <c r="BM259" s="496"/>
      <c r="BN259" s="496"/>
      <c r="BO259" s="496"/>
      <c r="BP259" s="496"/>
      <c r="BQ259" s="496"/>
      <c r="BR259" s="496"/>
      <c r="BS259" s="496"/>
      <c r="BT259" s="496"/>
      <c r="BU259" s="496"/>
      <c r="BV259" s="496"/>
      <c r="BW259" s="496"/>
      <c r="BX259" s="496"/>
      <c r="BY259" s="496"/>
      <c r="BZ259" s="496"/>
      <c r="CA259" s="496"/>
    </row>
    <row r="260" spans="7:79">
      <c r="G260" s="496"/>
      <c r="H260" s="496"/>
      <c r="I260" s="496"/>
      <c r="J260" s="496"/>
      <c r="K260" s="496"/>
      <c r="L260" s="496"/>
      <c r="M260" s="496"/>
      <c r="N260" s="496"/>
      <c r="O260" s="496"/>
      <c r="P260" s="496"/>
      <c r="Q260" s="496"/>
      <c r="R260" s="496"/>
      <c r="S260" s="496"/>
      <c r="T260" s="496"/>
      <c r="U260" s="496"/>
      <c r="V260" s="496"/>
      <c r="W260" s="496"/>
      <c r="X260" s="496"/>
      <c r="Y260" s="496"/>
      <c r="Z260" s="496"/>
      <c r="AA260" s="496"/>
      <c r="AB260" s="496"/>
      <c r="AC260" s="496"/>
      <c r="AD260" s="496"/>
      <c r="AE260" s="496"/>
      <c r="AF260" s="496"/>
      <c r="AG260" s="496"/>
      <c r="AH260" s="496"/>
      <c r="AI260" s="496"/>
      <c r="AJ260" s="496"/>
      <c r="AK260" s="496"/>
      <c r="AL260" s="496"/>
      <c r="AM260" s="496"/>
      <c r="AN260" s="496"/>
      <c r="AO260" s="496"/>
      <c r="AP260" s="496"/>
      <c r="AQ260" s="496"/>
      <c r="AR260" s="496"/>
      <c r="AS260" s="496"/>
      <c r="AT260" s="496"/>
      <c r="AU260" s="496"/>
      <c r="AV260" s="496"/>
      <c r="AW260" s="496"/>
      <c r="AX260" s="496"/>
      <c r="AY260" s="496"/>
      <c r="AZ260" s="496"/>
      <c r="BA260" s="496"/>
      <c r="BB260" s="496"/>
      <c r="BC260" s="496"/>
      <c r="BD260" s="496"/>
      <c r="BE260" s="496"/>
      <c r="BF260" s="496"/>
      <c r="BG260" s="496"/>
      <c r="BH260" s="496"/>
      <c r="BI260" s="496"/>
      <c r="BJ260" s="496"/>
      <c r="BK260" s="496"/>
      <c r="BL260" s="496"/>
      <c r="BM260" s="496"/>
      <c r="BN260" s="496"/>
      <c r="BO260" s="496"/>
      <c r="BP260" s="496"/>
      <c r="BQ260" s="496"/>
      <c r="BR260" s="496"/>
      <c r="BS260" s="496"/>
      <c r="BT260" s="496"/>
      <c r="BU260" s="496"/>
      <c r="BV260" s="496"/>
      <c r="BW260" s="496"/>
      <c r="BX260" s="496"/>
      <c r="BY260" s="496"/>
      <c r="BZ260" s="496"/>
      <c r="CA260" s="496"/>
    </row>
    <row r="261" spans="7:79">
      <c r="G261" s="496"/>
      <c r="H261" s="496"/>
      <c r="I261" s="496"/>
      <c r="J261" s="496"/>
      <c r="K261" s="496"/>
      <c r="L261" s="496"/>
      <c r="M261" s="496"/>
      <c r="N261" s="496"/>
      <c r="O261" s="496"/>
      <c r="P261" s="496"/>
      <c r="Q261" s="496"/>
      <c r="R261" s="496"/>
      <c r="S261" s="496"/>
      <c r="T261" s="496"/>
      <c r="U261" s="496"/>
      <c r="V261" s="496"/>
      <c r="W261" s="496"/>
      <c r="X261" s="496"/>
      <c r="Y261" s="496"/>
      <c r="Z261" s="496"/>
      <c r="AA261" s="496"/>
      <c r="AB261" s="496"/>
      <c r="AC261" s="496"/>
      <c r="AD261" s="496"/>
      <c r="AE261" s="496"/>
      <c r="AF261" s="496"/>
      <c r="AG261" s="496"/>
      <c r="AH261" s="496"/>
      <c r="AI261" s="496"/>
      <c r="AJ261" s="496"/>
      <c r="AK261" s="496"/>
      <c r="AL261" s="496"/>
      <c r="AM261" s="496"/>
      <c r="AN261" s="496"/>
      <c r="AO261" s="496"/>
      <c r="AP261" s="496"/>
      <c r="AQ261" s="496"/>
      <c r="AR261" s="496"/>
      <c r="AS261" s="496"/>
      <c r="AT261" s="496"/>
      <c r="AU261" s="496"/>
      <c r="AV261" s="496"/>
      <c r="AW261" s="496"/>
      <c r="AX261" s="496"/>
      <c r="AY261" s="496"/>
      <c r="AZ261" s="496"/>
      <c r="BA261" s="496"/>
      <c r="BB261" s="496"/>
      <c r="BC261" s="496"/>
      <c r="BD261" s="496"/>
      <c r="BE261" s="496"/>
      <c r="BF261" s="496"/>
      <c r="BG261" s="496"/>
      <c r="BH261" s="496"/>
      <c r="BI261" s="496"/>
      <c r="BJ261" s="496"/>
      <c r="BK261" s="496"/>
      <c r="BL261" s="496"/>
      <c r="BM261" s="496"/>
      <c r="BN261" s="496"/>
      <c r="BO261" s="496"/>
      <c r="BP261" s="496"/>
      <c r="BQ261" s="496"/>
      <c r="BR261" s="496"/>
      <c r="BS261" s="496"/>
      <c r="BT261" s="496"/>
      <c r="BU261" s="496"/>
      <c r="BV261" s="496"/>
      <c r="BW261" s="496"/>
      <c r="BX261" s="496"/>
      <c r="BY261" s="496"/>
      <c r="BZ261" s="496"/>
      <c r="CA261" s="496"/>
    </row>
    <row r="262" spans="7:79">
      <c r="G262" s="496"/>
      <c r="H262" s="496"/>
      <c r="I262" s="496"/>
      <c r="J262" s="496"/>
      <c r="K262" s="496"/>
      <c r="L262" s="496"/>
      <c r="M262" s="496"/>
      <c r="N262" s="496"/>
      <c r="O262" s="496"/>
      <c r="P262" s="496"/>
      <c r="Q262" s="496"/>
      <c r="R262" s="496"/>
      <c r="S262" s="496"/>
      <c r="T262" s="496"/>
      <c r="U262" s="496"/>
      <c r="V262" s="496"/>
      <c r="W262" s="496"/>
      <c r="X262" s="496"/>
      <c r="Y262" s="496"/>
      <c r="Z262" s="496"/>
      <c r="AA262" s="496"/>
      <c r="AB262" s="496"/>
      <c r="AC262" s="496"/>
      <c r="AD262" s="496"/>
      <c r="AE262" s="496"/>
      <c r="AF262" s="496"/>
      <c r="AG262" s="496"/>
      <c r="AH262" s="496"/>
      <c r="AI262" s="496"/>
      <c r="AJ262" s="496"/>
      <c r="AK262" s="496"/>
      <c r="AL262" s="496"/>
      <c r="AM262" s="496"/>
      <c r="AN262" s="496"/>
      <c r="AO262" s="496"/>
      <c r="AP262" s="496"/>
      <c r="AQ262" s="496"/>
      <c r="AR262" s="496"/>
      <c r="AS262" s="496"/>
      <c r="AT262" s="496"/>
      <c r="AU262" s="496"/>
      <c r="AV262" s="496"/>
      <c r="AW262" s="496"/>
      <c r="AX262" s="496"/>
      <c r="AY262" s="496"/>
      <c r="AZ262" s="496"/>
      <c r="BA262" s="496"/>
      <c r="BB262" s="496"/>
      <c r="BC262" s="496"/>
      <c r="BD262" s="496"/>
      <c r="BE262" s="496"/>
      <c r="BF262" s="496"/>
      <c r="BG262" s="496"/>
      <c r="BH262" s="496"/>
      <c r="BI262" s="496"/>
      <c r="BJ262" s="496"/>
      <c r="BK262" s="496"/>
      <c r="BL262" s="496"/>
      <c r="BM262" s="496"/>
      <c r="BN262" s="496"/>
      <c r="BO262" s="496"/>
      <c r="BP262" s="496"/>
      <c r="BQ262" s="496"/>
      <c r="BR262" s="496"/>
      <c r="BS262" s="496"/>
      <c r="BT262" s="496"/>
      <c r="BU262" s="496"/>
      <c r="BV262" s="496"/>
      <c r="BW262" s="496"/>
      <c r="BX262" s="496"/>
      <c r="BY262" s="496"/>
      <c r="BZ262" s="496"/>
      <c r="CA262" s="496"/>
    </row>
    <row r="263" spans="7:79">
      <c r="G263" s="496"/>
      <c r="H263" s="496"/>
      <c r="I263" s="496"/>
      <c r="J263" s="496"/>
      <c r="K263" s="496"/>
      <c r="L263" s="496"/>
      <c r="M263" s="496"/>
      <c r="N263" s="496"/>
      <c r="O263" s="496"/>
      <c r="P263" s="496"/>
      <c r="Q263" s="496"/>
      <c r="R263" s="496"/>
      <c r="S263" s="496"/>
      <c r="T263" s="496"/>
      <c r="U263" s="496"/>
      <c r="V263" s="496"/>
      <c r="W263" s="496"/>
      <c r="X263" s="496"/>
      <c r="Y263" s="496"/>
      <c r="Z263" s="496"/>
      <c r="AA263" s="496"/>
      <c r="AB263" s="496"/>
      <c r="AC263" s="496"/>
      <c r="AD263" s="496"/>
      <c r="AE263" s="496"/>
      <c r="AF263" s="496"/>
      <c r="AG263" s="496"/>
      <c r="AH263" s="496"/>
      <c r="AI263" s="496"/>
      <c r="AJ263" s="496"/>
      <c r="AK263" s="496"/>
      <c r="AL263" s="496"/>
      <c r="AM263" s="496"/>
      <c r="AN263" s="496"/>
      <c r="AO263" s="496"/>
      <c r="AP263" s="496"/>
      <c r="AQ263" s="496"/>
      <c r="AR263" s="496"/>
      <c r="AS263" s="496"/>
      <c r="AT263" s="496"/>
      <c r="AU263" s="496"/>
      <c r="AV263" s="496"/>
      <c r="AW263" s="496"/>
      <c r="AX263" s="496"/>
      <c r="AY263" s="496"/>
      <c r="AZ263" s="496"/>
      <c r="BA263" s="496"/>
      <c r="BB263" s="496"/>
      <c r="BC263" s="496"/>
      <c r="BD263" s="496"/>
      <c r="BE263" s="496"/>
      <c r="BF263" s="496"/>
      <c r="BG263" s="496"/>
      <c r="BH263" s="496"/>
      <c r="BI263" s="496"/>
      <c r="BJ263" s="496"/>
      <c r="BK263" s="496"/>
      <c r="BL263" s="496"/>
      <c r="BM263" s="496"/>
      <c r="BN263" s="496"/>
      <c r="BO263" s="496"/>
      <c r="BP263" s="496"/>
      <c r="BQ263" s="496"/>
      <c r="BR263" s="496"/>
      <c r="BS263" s="496"/>
      <c r="BT263" s="496"/>
      <c r="BU263" s="496"/>
      <c r="BV263" s="496"/>
      <c r="BW263" s="496"/>
      <c r="BX263" s="496"/>
      <c r="BY263" s="496"/>
      <c r="BZ263" s="496"/>
      <c r="CA263" s="496"/>
    </row>
    <row r="264" spans="7:79">
      <c r="G264" s="496"/>
      <c r="H264" s="496"/>
      <c r="I264" s="496"/>
      <c r="J264" s="496"/>
      <c r="K264" s="496"/>
      <c r="L264" s="496"/>
      <c r="M264" s="496"/>
      <c r="N264" s="496"/>
      <c r="O264" s="496"/>
      <c r="P264" s="496"/>
      <c r="Q264" s="496"/>
      <c r="R264" s="496"/>
      <c r="S264" s="496"/>
      <c r="T264" s="496"/>
      <c r="U264" s="496"/>
      <c r="V264" s="496"/>
      <c r="W264" s="496"/>
      <c r="X264" s="496"/>
      <c r="Y264" s="496"/>
      <c r="Z264" s="496"/>
      <c r="AA264" s="496"/>
      <c r="AB264" s="496"/>
      <c r="AC264" s="496"/>
      <c r="AD264" s="496"/>
      <c r="AE264" s="496"/>
      <c r="AF264" s="496"/>
      <c r="AG264" s="496"/>
      <c r="AH264" s="496"/>
      <c r="AI264" s="496"/>
      <c r="AJ264" s="496"/>
      <c r="AK264" s="496"/>
      <c r="AL264" s="496"/>
      <c r="AM264" s="496"/>
      <c r="AN264" s="496"/>
      <c r="AO264" s="496"/>
      <c r="AP264" s="496"/>
      <c r="AQ264" s="496"/>
      <c r="AR264" s="496"/>
      <c r="AS264" s="496"/>
      <c r="AT264" s="496"/>
      <c r="AU264" s="496"/>
      <c r="AV264" s="496"/>
      <c r="AW264" s="496"/>
      <c r="AX264" s="496"/>
      <c r="AY264" s="496"/>
      <c r="AZ264" s="496"/>
      <c r="BA264" s="496"/>
      <c r="BB264" s="496"/>
      <c r="BC264" s="496"/>
      <c r="BD264" s="496"/>
      <c r="BE264" s="496"/>
      <c r="BF264" s="496"/>
      <c r="BG264" s="496"/>
      <c r="BH264" s="496"/>
      <c r="BI264" s="496"/>
      <c r="BJ264" s="496"/>
      <c r="BK264" s="496"/>
      <c r="BL264" s="496"/>
      <c r="BM264" s="496"/>
      <c r="BN264" s="496"/>
      <c r="BO264" s="496"/>
      <c r="BP264" s="496"/>
      <c r="BQ264" s="496"/>
      <c r="BR264" s="496"/>
      <c r="BS264" s="496"/>
      <c r="BT264" s="496"/>
      <c r="BU264" s="496"/>
      <c r="BV264" s="496"/>
      <c r="BW264" s="496"/>
      <c r="BX264" s="496"/>
      <c r="BY264" s="496"/>
      <c r="BZ264" s="496"/>
      <c r="CA264" s="496"/>
    </row>
    <row r="265" spans="7:79">
      <c r="G265" s="496"/>
      <c r="H265" s="496"/>
      <c r="I265" s="496"/>
      <c r="J265" s="496"/>
      <c r="K265" s="496"/>
      <c r="L265" s="496"/>
      <c r="M265" s="496"/>
      <c r="N265" s="496"/>
      <c r="O265" s="496"/>
      <c r="P265" s="496"/>
      <c r="Q265" s="496"/>
      <c r="R265" s="496"/>
      <c r="S265" s="496"/>
      <c r="T265" s="496"/>
      <c r="U265" s="496"/>
      <c r="V265" s="496"/>
      <c r="W265" s="496"/>
      <c r="X265" s="496"/>
      <c r="Y265" s="496"/>
      <c r="Z265" s="496"/>
      <c r="AA265" s="496"/>
      <c r="AB265" s="496"/>
      <c r="AC265" s="496"/>
      <c r="AD265" s="496"/>
      <c r="AE265" s="496"/>
      <c r="AF265" s="496"/>
      <c r="AG265" s="496"/>
      <c r="AH265" s="496"/>
      <c r="AI265" s="496"/>
      <c r="AJ265" s="496"/>
      <c r="AK265" s="496"/>
      <c r="AL265" s="496"/>
      <c r="AM265" s="496"/>
      <c r="AN265" s="496"/>
      <c r="AO265" s="496"/>
      <c r="AP265" s="496"/>
      <c r="AQ265" s="496"/>
      <c r="AR265" s="496"/>
      <c r="AS265" s="496"/>
      <c r="AT265" s="496"/>
      <c r="AU265" s="496"/>
      <c r="AV265" s="496"/>
      <c r="AW265" s="496"/>
      <c r="AX265" s="496"/>
      <c r="AY265" s="496"/>
      <c r="AZ265" s="496"/>
      <c r="BA265" s="496"/>
      <c r="BB265" s="496"/>
      <c r="BC265" s="496"/>
      <c r="BD265" s="496"/>
      <c r="BE265" s="496"/>
      <c r="BF265" s="496"/>
      <c r="BG265" s="496"/>
      <c r="BH265" s="496"/>
      <c r="BI265" s="496"/>
      <c r="BJ265" s="496"/>
      <c r="BK265" s="496"/>
      <c r="BL265" s="496"/>
      <c r="BM265" s="496"/>
      <c r="BN265" s="496"/>
      <c r="BO265" s="496"/>
      <c r="BP265" s="496"/>
      <c r="BQ265" s="496"/>
      <c r="BR265" s="496"/>
      <c r="BS265" s="496"/>
      <c r="BT265" s="496"/>
      <c r="BU265" s="496"/>
      <c r="BV265" s="496"/>
      <c r="BW265" s="496"/>
      <c r="BX265" s="496"/>
      <c r="BY265" s="496"/>
      <c r="BZ265" s="496"/>
      <c r="CA265" s="496"/>
    </row>
    <row r="266" spans="7:79">
      <c r="G266" s="496"/>
      <c r="H266" s="496"/>
      <c r="I266" s="496"/>
      <c r="J266" s="496"/>
      <c r="K266" s="496"/>
      <c r="L266" s="496"/>
      <c r="M266" s="496"/>
      <c r="N266" s="496"/>
      <c r="O266" s="496"/>
      <c r="P266" s="496"/>
      <c r="Q266" s="496"/>
      <c r="R266" s="496"/>
      <c r="S266" s="496"/>
      <c r="T266" s="496"/>
      <c r="U266" s="496"/>
      <c r="V266" s="496"/>
      <c r="W266" s="496"/>
      <c r="X266" s="496"/>
      <c r="Y266" s="496"/>
      <c r="Z266" s="496"/>
      <c r="AA266" s="496"/>
      <c r="AB266" s="496"/>
      <c r="AC266" s="496"/>
      <c r="AD266" s="496"/>
      <c r="AE266" s="496"/>
      <c r="AF266" s="496"/>
      <c r="AG266" s="496"/>
      <c r="AH266" s="496"/>
      <c r="AI266" s="496"/>
      <c r="AJ266" s="496"/>
      <c r="AK266" s="496"/>
      <c r="AL266" s="496"/>
      <c r="AM266" s="496"/>
      <c r="AN266" s="496"/>
      <c r="AO266" s="496"/>
      <c r="AP266" s="496"/>
      <c r="AQ266" s="496"/>
      <c r="AR266" s="496"/>
      <c r="AS266" s="496"/>
      <c r="AT266" s="496"/>
      <c r="AU266" s="496"/>
      <c r="AV266" s="496"/>
      <c r="AW266" s="496"/>
      <c r="AX266" s="496"/>
      <c r="AY266" s="496"/>
      <c r="AZ266" s="496"/>
      <c r="BA266" s="496"/>
      <c r="BB266" s="496"/>
      <c r="BC266" s="496"/>
      <c r="BD266" s="496"/>
      <c r="BE266" s="496"/>
      <c r="BF266" s="496"/>
      <c r="BG266" s="496"/>
      <c r="BH266" s="496"/>
      <c r="BI266" s="496"/>
      <c r="BJ266" s="496"/>
      <c r="BK266" s="496"/>
      <c r="BL266" s="496"/>
      <c r="BM266" s="496"/>
      <c r="BN266" s="496"/>
      <c r="BO266" s="496"/>
      <c r="BP266" s="496"/>
      <c r="BQ266" s="496"/>
      <c r="BR266" s="496"/>
      <c r="BS266" s="496"/>
      <c r="BT266" s="496"/>
      <c r="BU266" s="496"/>
      <c r="BV266" s="496"/>
      <c r="BW266" s="496"/>
      <c r="BX266" s="496"/>
      <c r="BY266" s="496"/>
      <c r="BZ266" s="496"/>
      <c r="CA266" s="496"/>
    </row>
    <row r="267" spans="7:79">
      <c r="G267" s="496"/>
      <c r="H267" s="496"/>
      <c r="I267" s="496"/>
      <c r="J267" s="496"/>
      <c r="K267" s="496"/>
      <c r="L267" s="496"/>
      <c r="M267" s="496"/>
      <c r="N267" s="496"/>
      <c r="O267" s="496"/>
      <c r="P267" s="496"/>
      <c r="Q267" s="496"/>
      <c r="R267" s="496"/>
      <c r="S267" s="496"/>
      <c r="T267" s="496"/>
      <c r="U267" s="496"/>
      <c r="V267" s="496"/>
      <c r="W267" s="496"/>
      <c r="X267" s="496"/>
      <c r="Y267" s="496"/>
      <c r="Z267" s="496"/>
      <c r="AA267" s="496"/>
      <c r="AB267" s="496"/>
      <c r="AC267" s="496"/>
      <c r="AD267" s="496"/>
      <c r="AE267" s="496"/>
      <c r="AF267" s="496"/>
      <c r="AG267" s="496"/>
      <c r="AH267" s="496"/>
      <c r="AI267" s="496"/>
      <c r="AJ267" s="496"/>
      <c r="AK267" s="496"/>
      <c r="AL267" s="496"/>
      <c r="AM267" s="496"/>
      <c r="AN267" s="496"/>
      <c r="AO267" s="496"/>
      <c r="AP267" s="496"/>
      <c r="AQ267" s="496"/>
      <c r="AR267" s="496"/>
      <c r="AS267" s="496"/>
      <c r="AT267" s="496"/>
      <c r="AU267" s="496"/>
      <c r="AV267" s="496"/>
      <c r="AW267" s="496"/>
      <c r="AX267" s="496"/>
      <c r="AY267" s="496"/>
      <c r="AZ267" s="496"/>
      <c r="BA267" s="496"/>
      <c r="BB267" s="496"/>
      <c r="BC267" s="496"/>
      <c r="BD267" s="496"/>
      <c r="BE267" s="496"/>
      <c r="BF267" s="496"/>
      <c r="BG267" s="496"/>
      <c r="BH267" s="496"/>
      <c r="BI267" s="496"/>
      <c r="BJ267" s="496"/>
      <c r="BK267" s="496"/>
      <c r="BL267" s="496"/>
      <c r="BM267" s="496"/>
      <c r="BN267" s="496"/>
      <c r="BO267" s="496"/>
      <c r="BP267" s="496"/>
      <c r="BQ267" s="496"/>
      <c r="BR267" s="496"/>
      <c r="BS267" s="496"/>
      <c r="BT267" s="496"/>
      <c r="BU267" s="496"/>
      <c r="BV267" s="496"/>
      <c r="BW267" s="496"/>
      <c r="BX267" s="496"/>
      <c r="BY267" s="496"/>
      <c r="BZ267" s="496"/>
      <c r="CA267" s="496"/>
    </row>
    <row r="268" spans="7:79">
      <c r="G268" s="496"/>
      <c r="H268" s="496"/>
      <c r="I268" s="496"/>
      <c r="J268" s="496"/>
      <c r="K268" s="496"/>
      <c r="L268" s="496"/>
      <c r="M268" s="496"/>
      <c r="N268" s="496"/>
      <c r="O268" s="496"/>
      <c r="P268" s="496"/>
      <c r="Q268" s="496"/>
      <c r="R268" s="496"/>
      <c r="S268" s="496"/>
      <c r="T268" s="496"/>
      <c r="U268" s="496"/>
      <c r="V268" s="496"/>
      <c r="W268" s="496"/>
      <c r="X268" s="496"/>
      <c r="Y268" s="496"/>
      <c r="Z268" s="496"/>
      <c r="AA268" s="496"/>
      <c r="AB268" s="496"/>
      <c r="AC268" s="496"/>
      <c r="AD268" s="496"/>
      <c r="AE268" s="496"/>
      <c r="AF268" s="496"/>
      <c r="AG268" s="496"/>
      <c r="AH268" s="496"/>
      <c r="AI268" s="496"/>
      <c r="AJ268" s="496"/>
      <c r="AK268" s="496"/>
      <c r="AL268" s="496"/>
      <c r="AM268" s="496"/>
      <c r="AN268" s="496"/>
      <c r="AO268" s="496"/>
      <c r="AP268" s="496"/>
      <c r="AQ268" s="496"/>
      <c r="AR268" s="496"/>
      <c r="AS268" s="496"/>
      <c r="AT268" s="496"/>
      <c r="AU268" s="496"/>
      <c r="AV268" s="496"/>
      <c r="AW268" s="496"/>
      <c r="AX268" s="496"/>
      <c r="AY268" s="496"/>
      <c r="AZ268" s="496"/>
      <c r="BA268" s="496"/>
      <c r="BB268" s="496"/>
      <c r="BC268" s="496"/>
      <c r="BD268" s="496"/>
      <c r="BE268" s="496"/>
      <c r="BF268" s="496"/>
      <c r="BG268" s="496"/>
      <c r="BH268" s="496"/>
      <c r="BI268" s="496"/>
      <c r="BJ268" s="496"/>
      <c r="BK268" s="496"/>
      <c r="BL268" s="496"/>
      <c r="BM268" s="496"/>
      <c r="BN268" s="496"/>
      <c r="BO268" s="496"/>
      <c r="BP268" s="496"/>
      <c r="BQ268" s="496"/>
      <c r="BR268" s="496"/>
      <c r="BS268" s="496"/>
      <c r="BT268" s="496"/>
      <c r="BU268" s="496"/>
      <c r="BV268" s="496"/>
      <c r="BW268" s="496"/>
      <c r="BX268" s="496"/>
      <c r="BY268" s="496"/>
      <c r="BZ268" s="496"/>
      <c r="CA268" s="496"/>
    </row>
    <row r="269" spans="7:79">
      <c r="G269" s="496"/>
      <c r="H269" s="496"/>
      <c r="I269" s="496"/>
      <c r="J269" s="496"/>
      <c r="K269" s="496"/>
      <c r="L269" s="496"/>
      <c r="M269" s="496"/>
      <c r="N269" s="496"/>
      <c r="O269" s="496"/>
      <c r="P269" s="496"/>
      <c r="Q269" s="496"/>
      <c r="R269" s="496"/>
      <c r="S269" s="496"/>
      <c r="T269" s="496"/>
      <c r="U269" s="496"/>
      <c r="V269" s="496"/>
      <c r="W269" s="496"/>
      <c r="X269" s="496"/>
      <c r="Y269" s="496"/>
      <c r="Z269" s="496"/>
      <c r="AA269" s="496"/>
      <c r="AB269" s="496"/>
      <c r="AC269" s="496"/>
      <c r="AD269" s="496"/>
      <c r="AE269" s="496"/>
      <c r="AF269" s="496"/>
      <c r="AG269" s="496"/>
      <c r="AH269" s="496"/>
      <c r="AI269" s="496"/>
      <c r="AJ269" s="496"/>
      <c r="AK269" s="496"/>
      <c r="AL269" s="496"/>
      <c r="AM269" s="496"/>
      <c r="AN269" s="496"/>
      <c r="AO269" s="496"/>
      <c r="AP269" s="496"/>
      <c r="AQ269" s="496"/>
      <c r="AR269" s="496"/>
      <c r="AS269" s="496"/>
      <c r="AT269" s="496"/>
      <c r="AU269" s="496"/>
      <c r="AV269" s="496"/>
      <c r="AW269" s="496"/>
      <c r="AX269" s="496"/>
      <c r="AY269" s="496"/>
      <c r="AZ269" s="496"/>
      <c r="BA269" s="496"/>
      <c r="BB269" s="496"/>
      <c r="BC269" s="496"/>
      <c r="BD269" s="496"/>
      <c r="BE269" s="496"/>
      <c r="BF269" s="496"/>
      <c r="BG269" s="496"/>
      <c r="BH269" s="496"/>
      <c r="BI269" s="496"/>
      <c r="BJ269" s="496"/>
      <c r="BK269" s="496"/>
      <c r="BL269" s="496"/>
      <c r="BM269" s="496"/>
      <c r="BN269" s="496"/>
      <c r="BO269" s="496"/>
      <c r="BP269" s="496"/>
      <c r="BQ269" s="496"/>
      <c r="BR269" s="496"/>
      <c r="BS269" s="496"/>
      <c r="BT269" s="496"/>
      <c r="BU269" s="496"/>
      <c r="BV269" s="496"/>
      <c r="BW269" s="496"/>
      <c r="BX269" s="496"/>
      <c r="BY269" s="496"/>
      <c r="BZ269" s="496"/>
      <c r="CA269" s="496"/>
    </row>
    <row r="270" spans="7:79">
      <c r="G270" s="496"/>
      <c r="H270" s="496"/>
      <c r="I270" s="496"/>
      <c r="J270" s="496"/>
      <c r="K270" s="496"/>
      <c r="L270" s="496"/>
      <c r="M270" s="496"/>
      <c r="N270" s="496"/>
      <c r="O270" s="496"/>
      <c r="P270" s="496"/>
      <c r="Q270" s="496"/>
      <c r="R270" s="496"/>
      <c r="S270" s="496"/>
      <c r="T270" s="496"/>
      <c r="U270" s="496"/>
      <c r="V270" s="496"/>
      <c r="W270" s="496"/>
      <c r="X270" s="496"/>
      <c r="Y270" s="496"/>
      <c r="Z270" s="496"/>
      <c r="AA270" s="496"/>
      <c r="AB270" s="496"/>
      <c r="AC270" s="496"/>
      <c r="AD270" s="496"/>
      <c r="AE270" s="496"/>
      <c r="AF270" s="496"/>
      <c r="AG270" s="496"/>
      <c r="AH270" s="496"/>
      <c r="AI270" s="496"/>
      <c r="AJ270" s="496"/>
      <c r="AK270" s="496"/>
      <c r="AL270" s="496"/>
      <c r="AM270" s="496"/>
      <c r="AN270" s="496"/>
      <c r="AO270" s="496"/>
      <c r="AP270" s="496"/>
      <c r="AQ270" s="496"/>
      <c r="AR270" s="496"/>
      <c r="AS270" s="496"/>
      <c r="AT270" s="496"/>
      <c r="AU270" s="496"/>
      <c r="AV270" s="496"/>
      <c r="AW270" s="496"/>
      <c r="AX270" s="496"/>
      <c r="AY270" s="496"/>
      <c r="AZ270" s="496"/>
      <c r="BA270" s="496"/>
      <c r="BB270" s="496"/>
      <c r="BC270" s="496"/>
      <c r="BD270" s="496"/>
      <c r="BE270" s="496"/>
      <c r="BF270" s="496"/>
      <c r="BG270" s="496"/>
      <c r="BH270" s="496"/>
      <c r="BI270" s="496"/>
      <c r="BJ270" s="496"/>
      <c r="BK270" s="496"/>
      <c r="BL270" s="496"/>
      <c r="BM270" s="496"/>
      <c r="BN270" s="496"/>
      <c r="BO270" s="496"/>
      <c r="BP270" s="496"/>
      <c r="BQ270" s="496"/>
      <c r="BR270" s="496"/>
      <c r="BS270" s="496"/>
      <c r="BT270" s="496"/>
      <c r="BU270" s="496"/>
      <c r="BV270" s="496"/>
      <c r="BW270" s="496"/>
      <c r="BX270" s="496"/>
      <c r="BY270" s="496"/>
      <c r="BZ270" s="496"/>
      <c r="CA270" s="496"/>
    </row>
    <row r="271" spans="7:79">
      <c r="G271" s="496"/>
      <c r="H271" s="496"/>
      <c r="I271" s="496"/>
      <c r="J271" s="496"/>
      <c r="K271" s="496"/>
      <c r="L271" s="496"/>
      <c r="M271" s="496"/>
      <c r="N271" s="496"/>
      <c r="O271" s="496"/>
      <c r="P271" s="496"/>
      <c r="Q271" s="496"/>
      <c r="R271" s="496"/>
      <c r="S271" s="496"/>
      <c r="T271" s="496"/>
      <c r="U271" s="496"/>
      <c r="V271" s="496"/>
      <c r="W271" s="496"/>
      <c r="X271" s="496"/>
      <c r="Y271" s="496"/>
      <c r="Z271" s="496"/>
      <c r="AA271" s="496"/>
      <c r="AB271" s="496"/>
      <c r="AC271" s="496"/>
      <c r="AD271" s="496"/>
      <c r="AE271" s="496"/>
      <c r="AF271" s="496"/>
      <c r="AG271" s="496"/>
      <c r="AH271" s="496"/>
      <c r="AI271" s="496"/>
      <c r="AJ271" s="496"/>
      <c r="AK271" s="496"/>
      <c r="AL271" s="496"/>
      <c r="AM271" s="496"/>
      <c r="AN271" s="496"/>
      <c r="AO271" s="496"/>
      <c r="AP271" s="496"/>
      <c r="AQ271" s="496"/>
      <c r="AR271" s="496"/>
      <c r="AS271" s="496"/>
      <c r="AT271" s="496"/>
      <c r="AU271" s="496"/>
      <c r="AV271" s="496"/>
      <c r="AW271" s="496"/>
      <c r="AX271" s="496"/>
      <c r="AY271" s="496"/>
      <c r="AZ271" s="496"/>
      <c r="BA271" s="496"/>
      <c r="BB271" s="496"/>
      <c r="BC271" s="496"/>
      <c r="BD271" s="496"/>
      <c r="BE271" s="496"/>
      <c r="BF271" s="496"/>
      <c r="BG271" s="496"/>
      <c r="BH271" s="496"/>
      <c r="BI271" s="496"/>
      <c r="BJ271" s="496"/>
      <c r="BK271" s="496"/>
      <c r="BL271" s="496"/>
      <c r="BM271" s="496"/>
      <c r="BN271" s="496"/>
      <c r="BO271" s="496"/>
      <c r="BP271" s="496"/>
      <c r="BQ271" s="496"/>
      <c r="BR271" s="496"/>
      <c r="BS271" s="496"/>
      <c r="BT271" s="496"/>
      <c r="BU271" s="496"/>
      <c r="BV271" s="496"/>
      <c r="BW271" s="496"/>
      <c r="BX271" s="496"/>
      <c r="BY271" s="496"/>
      <c r="BZ271" s="496"/>
      <c r="CA271" s="496"/>
    </row>
    <row r="272" spans="7:79">
      <c r="G272" s="496"/>
      <c r="H272" s="496"/>
      <c r="I272" s="496"/>
      <c r="J272" s="496"/>
      <c r="K272" s="496"/>
      <c r="L272" s="496"/>
      <c r="M272" s="496"/>
      <c r="N272" s="496"/>
      <c r="O272" s="496"/>
      <c r="P272" s="496"/>
      <c r="Q272" s="496"/>
      <c r="R272" s="496"/>
      <c r="S272" s="496"/>
      <c r="T272" s="496"/>
      <c r="U272" s="496"/>
      <c r="V272" s="496"/>
      <c r="W272" s="496"/>
      <c r="X272" s="496"/>
      <c r="Y272" s="496"/>
      <c r="Z272" s="496"/>
      <c r="AA272" s="496"/>
      <c r="AB272" s="496"/>
      <c r="AC272" s="496"/>
      <c r="AD272" s="496"/>
      <c r="AE272" s="496"/>
      <c r="AF272" s="496"/>
      <c r="AG272" s="496"/>
      <c r="AH272" s="496"/>
      <c r="AI272" s="496"/>
      <c r="AJ272" s="496"/>
      <c r="AK272" s="496"/>
      <c r="AL272" s="496"/>
      <c r="AM272" s="496"/>
      <c r="AN272" s="496"/>
      <c r="AO272" s="496"/>
      <c r="AP272" s="496"/>
      <c r="AQ272" s="496"/>
      <c r="AR272" s="496"/>
      <c r="AS272" s="496"/>
      <c r="AT272" s="496"/>
      <c r="AU272" s="496"/>
      <c r="AV272" s="496"/>
      <c r="AW272" s="496"/>
      <c r="AX272" s="496"/>
      <c r="AY272" s="496"/>
      <c r="AZ272" s="496"/>
      <c r="BA272" s="496"/>
      <c r="BB272" s="496"/>
      <c r="BC272" s="496"/>
      <c r="BD272" s="496"/>
      <c r="BE272" s="496"/>
      <c r="BF272" s="496"/>
      <c r="BG272" s="496"/>
      <c r="BH272" s="496"/>
      <c r="BI272" s="496"/>
      <c r="BJ272" s="496"/>
      <c r="BK272" s="496"/>
      <c r="BL272" s="496"/>
      <c r="BM272" s="496"/>
      <c r="BN272" s="496"/>
      <c r="BO272" s="496"/>
      <c r="BP272" s="496"/>
      <c r="BQ272" s="496"/>
      <c r="BR272" s="496"/>
      <c r="BS272" s="496"/>
      <c r="BT272" s="496"/>
      <c r="BU272" s="496"/>
      <c r="BV272" s="496"/>
      <c r="BW272" s="496"/>
      <c r="BX272" s="496"/>
      <c r="BY272" s="496"/>
      <c r="BZ272" s="496"/>
      <c r="CA272" s="496"/>
    </row>
    <row r="273" spans="7:79">
      <c r="G273" s="496"/>
      <c r="H273" s="496"/>
      <c r="I273" s="496"/>
      <c r="J273" s="496"/>
      <c r="K273" s="496"/>
      <c r="L273" s="496"/>
      <c r="M273" s="496"/>
      <c r="N273" s="496"/>
      <c r="O273" s="496"/>
      <c r="P273" s="496"/>
      <c r="Q273" s="496"/>
      <c r="R273" s="496"/>
      <c r="S273" s="496"/>
      <c r="T273" s="496"/>
      <c r="U273" s="496"/>
      <c r="V273" s="496"/>
      <c r="W273" s="496"/>
      <c r="X273" s="496"/>
      <c r="Y273" s="496"/>
      <c r="Z273" s="496"/>
      <c r="AA273" s="496"/>
      <c r="AB273" s="496"/>
      <c r="AC273" s="496"/>
      <c r="AD273" s="496"/>
      <c r="AE273" s="496"/>
      <c r="AF273" s="496"/>
      <c r="AG273" s="496"/>
      <c r="AH273" s="496"/>
      <c r="AI273" s="496"/>
      <c r="AJ273" s="496"/>
      <c r="AK273" s="496"/>
      <c r="AL273" s="496"/>
      <c r="AM273" s="496"/>
      <c r="AN273" s="496"/>
      <c r="AO273" s="496"/>
      <c r="AP273" s="496"/>
      <c r="AQ273" s="496"/>
      <c r="AR273" s="496"/>
      <c r="AS273" s="496"/>
      <c r="AT273" s="496"/>
      <c r="AU273" s="496"/>
      <c r="AV273" s="496"/>
      <c r="AW273" s="496"/>
      <c r="AX273" s="496"/>
      <c r="AY273" s="496"/>
      <c r="AZ273" s="496"/>
      <c r="BA273" s="496"/>
      <c r="BB273" s="496"/>
      <c r="BC273" s="496"/>
      <c r="BD273" s="496"/>
      <c r="BE273" s="496"/>
      <c r="BF273" s="496"/>
      <c r="BG273" s="496"/>
      <c r="BH273" s="496"/>
      <c r="BI273" s="496"/>
      <c r="BJ273" s="496"/>
      <c r="BK273" s="496"/>
      <c r="BL273" s="496"/>
      <c r="BM273" s="496"/>
      <c r="BN273" s="496"/>
      <c r="BO273" s="496"/>
      <c r="BP273" s="496"/>
      <c r="BQ273" s="496"/>
      <c r="BR273" s="496"/>
      <c r="BS273" s="496"/>
      <c r="BT273" s="496"/>
      <c r="BU273" s="496"/>
      <c r="BV273" s="496"/>
      <c r="BW273" s="496"/>
      <c r="BX273" s="496"/>
      <c r="BY273" s="496"/>
      <c r="BZ273" s="496"/>
      <c r="CA273" s="496"/>
    </row>
    <row r="274" spans="7:79">
      <c r="G274" s="496"/>
      <c r="H274" s="496"/>
      <c r="I274" s="496"/>
      <c r="J274" s="496"/>
      <c r="K274" s="496"/>
      <c r="L274" s="496"/>
      <c r="M274" s="496"/>
      <c r="N274" s="496"/>
      <c r="O274" s="496"/>
      <c r="P274" s="496"/>
      <c r="Q274" s="496"/>
      <c r="R274" s="496"/>
      <c r="S274" s="496"/>
      <c r="T274" s="496"/>
      <c r="U274" s="496"/>
      <c r="V274" s="496"/>
      <c r="W274" s="496"/>
      <c r="X274" s="496"/>
      <c r="Y274" s="496"/>
      <c r="Z274" s="496"/>
      <c r="AA274" s="496"/>
      <c r="AB274" s="496"/>
      <c r="AC274" s="496"/>
      <c r="AD274" s="496"/>
      <c r="AE274" s="496"/>
      <c r="AF274" s="496"/>
      <c r="AG274" s="496"/>
      <c r="AH274" s="496"/>
      <c r="AI274" s="496"/>
      <c r="AJ274" s="496"/>
      <c r="AK274" s="496"/>
      <c r="AL274" s="496"/>
      <c r="AM274" s="496"/>
      <c r="AN274" s="496"/>
      <c r="AO274" s="496"/>
      <c r="AP274" s="496"/>
      <c r="AQ274" s="496"/>
      <c r="AR274" s="496"/>
      <c r="AS274" s="496"/>
      <c r="AT274" s="496"/>
      <c r="AU274" s="496"/>
      <c r="AV274" s="496"/>
      <c r="AW274" s="496"/>
      <c r="AX274" s="496"/>
      <c r="AY274" s="496"/>
      <c r="AZ274" s="496"/>
      <c r="BA274" s="496"/>
      <c r="BB274" s="496"/>
      <c r="BC274" s="496"/>
      <c r="BD274" s="496"/>
      <c r="BE274" s="496"/>
      <c r="BF274" s="496"/>
      <c r="BG274" s="496"/>
      <c r="BH274" s="496"/>
      <c r="BI274" s="496"/>
      <c r="BJ274" s="496"/>
      <c r="BK274" s="496"/>
      <c r="BL274" s="496"/>
      <c r="BM274" s="496"/>
      <c r="BN274" s="496"/>
      <c r="BO274" s="496"/>
      <c r="BP274" s="496"/>
      <c r="BQ274" s="496"/>
      <c r="BR274" s="496"/>
      <c r="BS274" s="496"/>
      <c r="BT274" s="496"/>
      <c r="BU274" s="496"/>
      <c r="BV274" s="496"/>
      <c r="BW274" s="496"/>
      <c r="BX274" s="496"/>
      <c r="BY274" s="496"/>
      <c r="BZ274" s="496"/>
      <c r="CA274" s="496"/>
    </row>
    <row r="275" spans="7:79">
      <c r="G275" s="496"/>
      <c r="H275" s="496"/>
      <c r="I275" s="496"/>
      <c r="J275" s="496"/>
      <c r="K275" s="496"/>
      <c r="L275" s="496"/>
      <c r="M275" s="496"/>
      <c r="N275" s="496"/>
      <c r="O275" s="496"/>
      <c r="P275" s="496"/>
      <c r="Q275" s="496"/>
      <c r="R275" s="496"/>
      <c r="S275" s="496"/>
      <c r="T275" s="496"/>
      <c r="U275" s="496"/>
      <c r="V275" s="496"/>
      <c r="W275" s="496"/>
      <c r="X275" s="496"/>
      <c r="Y275" s="496"/>
      <c r="Z275" s="496"/>
      <c r="AA275" s="496"/>
      <c r="AB275" s="496"/>
      <c r="AC275" s="496"/>
      <c r="AD275" s="496"/>
      <c r="AE275" s="496"/>
      <c r="AF275" s="496"/>
      <c r="AG275" s="496"/>
      <c r="AH275" s="496"/>
      <c r="AI275" s="496"/>
      <c r="AJ275" s="496"/>
      <c r="AK275" s="496"/>
      <c r="AL275" s="496"/>
      <c r="AM275" s="496"/>
      <c r="AN275" s="496"/>
      <c r="AO275" s="496"/>
      <c r="AP275" s="496"/>
      <c r="AQ275" s="496"/>
      <c r="AR275" s="496"/>
      <c r="AS275" s="496"/>
      <c r="AT275" s="496"/>
      <c r="AU275" s="496"/>
      <c r="AV275" s="496"/>
      <c r="AW275" s="496"/>
      <c r="AX275" s="496"/>
      <c r="AY275" s="496"/>
      <c r="AZ275" s="496"/>
      <c r="BA275" s="496"/>
      <c r="BB275" s="496"/>
      <c r="BC275" s="496"/>
      <c r="BD275" s="496"/>
      <c r="BE275" s="496"/>
      <c r="BF275" s="496"/>
      <c r="BG275" s="496"/>
      <c r="BH275" s="496"/>
      <c r="BI275" s="496"/>
      <c r="BJ275" s="496"/>
      <c r="BK275" s="496"/>
      <c r="BL275" s="496"/>
      <c r="BM275" s="496"/>
      <c r="BN275" s="496"/>
      <c r="BO275" s="496"/>
      <c r="BP275" s="496"/>
      <c r="BQ275" s="496"/>
      <c r="BR275" s="496"/>
      <c r="BS275" s="496"/>
      <c r="BT275" s="496"/>
      <c r="BU275" s="496"/>
      <c r="BV275" s="496"/>
      <c r="BW275" s="496"/>
      <c r="BX275" s="496"/>
      <c r="BY275" s="496"/>
      <c r="BZ275" s="496"/>
      <c r="CA275" s="496"/>
    </row>
    <row r="276" spans="7:79">
      <c r="G276" s="496"/>
      <c r="H276" s="496"/>
      <c r="I276" s="496"/>
      <c r="J276" s="496"/>
      <c r="K276" s="496"/>
      <c r="L276" s="496"/>
      <c r="M276" s="496"/>
      <c r="N276" s="496"/>
      <c r="O276" s="496"/>
      <c r="P276" s="496"/>
      <c r="Q276" s="496"/>
      <c r="R276" s="496"/>
      <c r="S276" s="496"/>
      <c r="T276" s="496"/>
      <c r="U276" s="496"/>
      <c r="V276" s="496"/>
      <c r="W276" s="496"/>
      <c r="X276" s="496"/>
      <c r="Y276" s="496"/>
      <c r="Z276" s="496"/>
      <c r="AA276" s="496"/>
      <c r="AB276" s="496"/>
      <c r="AC276" s="496"/>
      <c r="AD276" s="496"/>
      <c r="AE276" s="496"/>
      <c r="AF276" s="496"/>
      <c r="AG276" s="496"/>
      <c r="AH276" s="496"/>
      <c r="AI276" s="496"/>
      <c r="AJ276" s="496"/>
      <c r="AK276" s="496"/>
      <c r="AL276" s="496"/>
      <c r="AM276" s="496"/>
      <c r="AN276" s="496"/>
      <c r="AO276" s="496"/>
      <c r="AP276" s="496"/>
      <c r="AQ276" s="496"/>
      <c r="AR276" s="496"/>
      <c r="AS276" s="496"/>
      <c r="AT276" s="496"/>
      <c r="AU276" s="496"/>
      <c r="AV276" s="496"/>
      <c r="AW276" s="496"/>
      <c r="AX276" s="496"/>
      <c r="AY276" s="496"/>
      <c r="AZ276" s="496"/>
      <c r="BA276" s="496"/>
      <c r="BB276" s="496"/>
      <c r="BC276" s="496"/>
      <c r="BD276" s="496"/>
      <c r="BE276" s="496"/>
      <c r="BF276" s="496"/>
      <c r="BG276" s="496"/>
      <c r="BH276" s="496"/>
      <c r="BI276" s="496"/>
      <c r="BJ276" s="496"/>
      <c r="BK276" s="496"/>
      <c r="BL276" s="496"/>
      <c r="BM276" s="496"/>
      <c r="BN276" s="496"/>
      <c r="BO276" s="496"/>
      <c r="BP276" s="496"/>
      <c r="BQ276" s="496"/>
      <c r="BR276" s="496"/>
      <c r="BS276" s="496"/>
      <c r="BT276" s="496"/>
      <c r="BU276" s="496"/>
      <c r="BV276" s="496"/>
      <c r="BW276" s="496"/>
      <c r="BX276" s="496"/>
      <c r="BY276" s="496"/>
      <c r="BZ276" s="496"/>
      <c r="CA276" s="496"/>
    </row>
    <row r="277" spans="7:79">
      <c r="G277" s="496"/>
      <c r="H277" s="496"/>
      <c r="I277" s="496"/>
      <c r="J277" s="496"/>
      <c r="K277" s="496"/>
      <c r="L277" s="496"/>
      <c r="M277" s="496"/>
      <c r="N277" s="496"/>
      <c r="O277" s="496"/>
      <c r="P277" s="496"/>
      <c r="Q277" s="496"/>
      <c r="R277" s="496"/>
      <c r="S277" s="496"/>
      <c r="T277" s="496"/>
      <c r="U277" s="496"/>
      <c r="V277" s="496"/>
      <c r="W277" s="496"/>
      <c r="X277" s="496"/>
      <c r="Y277" s="496"/>
      <c r="Z277" s="496"/>
      <c r="AA277" s="496"/>
      <c r="AB277" s="496"/>
      <c r="AC277" s="496"/>
      <c r="AD277" s="496"/>
      <c r="AE277" s="496"/>
      <c r="AF277" s="496"/>
      <c r="AG277" s="496"/>
      <c r="AH277" s="496"/>
      <c r="AI277" s="496"/>
      <c r="AJ277" s="496"/>
      <c r="AK277" s="496"/>
      <c r="AL277" s="496"/>
      <c r="AM277" s="496"/>
      <c r="AN277" s="496"/>
      <c r="AO277" s="496"/>
      <c r="AP277" s="496"/>
      <c r="AQ277" s="496"/>
      <c r="AR277" s="496"/>
      <c r="AS277" s="496"/>
      <c r="AT277" s="496"/>
      <c r="AU277" s="496"/>
      <c r="AV277" s="496"/>
      <c r="AW277" s="496"/>
      <c r="AX277" s="496"/>
      <c r="AY277" s="496"/>
      <c r="AZ277" s="496"/>
      <c r="BA277" s="496"/>
      <c r="BB277" s="496"/>
      <c r="BC277" s="496"/>
      <c r="BD277" s="496"/>
      <c r="BE277" s="496"/>
      <c r="BF277" s="496"/>
      <c r="BG277" s="496"/>
      <c r="BH277" s="496"/>
      <c r="BI277" s="496"/>
      <c r="BJ277" s="496"/>
      <c r="BK277" s="496"/>
      <c r="BL277" s="496"/>
      <c r="BM277" s="496"/>
      <c r="BN277" s="496"/>
      <c r="BO277" s="496"/>
      <c r="BP277" s="496"/>
      <c r="BQ277" s="496"/>
      <c r="BR277" s="496"/>
      <c r="BS277" s="496"/>
      <c r="BT277" s="496"/>
      <c r="BU277" s="496"/>
      <c r="BV277" s="496"/>
      <c r="BW277" s="496"/>
      <c r="BX277" s="496"/>
      <c r="BY277" s="496"/>
      <c r="BZ277" s="496"/>
      <c r="CA277" s="496"/>
    </row>
    <row r="278" spans="7:79">
      <c r="G278" s="496"/>
      <c r="H278" s="496"/>
      <c r="I278" s="496"/>
      <c r="J278" s="496"/>
      <c r="K278" s="496"/>
      <c r="L278" s="496"/>
      <c r="M278" s="496"/>
      <c r="N278" s="496"/>
      <c r="O278" s="496"/>
      <c r="P278" s="496"/>
      <c r="Q278" s="496"/>
      <c r="R278" s="496"/>
      <c r="S278" s="496"/>
      <c r="T278" s="496"/>
      <c r="U278" s="496"/>
      <c r="V278" s="496"/>
      <c r="W278" s="496"/>
      <c r="X278" s="496"/>
      <c r="Y278" s="496"/>
      <c r="Z278" s="496"/>
      <c r="AA278" s="496"/>
      <c r="AB278" s="496"/>
      <c r="AC278" s="496"/>
      <c r="AD278" s="496"/>
      <c r="AE278" s="496"/>
      <c r="AF278" s="496"/>
      <c r="AG278" s="496"/>
      <c r="AH278" s="496"/>
      <c r="AI278" s="496"/>
      <c r="AJ278" s="496"/>
      <c r="AK278" s="496"/>
      <c r="AL278" s="496"/>
      <c r="AM278" s="496"/>
      <c r="AN278" s="496"/>
      <c r="AO278" s="496"/>
      <c r="AP278" s="496"/>
      <c r="AQ278" s="496"/>
      <c r="AR278" s="496"/>
      <c r="AS278" s="496"/>
      <c r="AT278" s="496"/>
      <c r="AU278" s="496"/>
      <c r="AV278" s="496"/>
      <c r="AW278" s="496"/>
      <c r="AX278" s="496"/>
      <c r="AY278" s="496"/>
      <c r="AZ278" s="496"/>
      <c r="BA278" s="496"/>
      <c r="BB278" s="496"/>
      <c r="BC278" s="496"/>
      <c r="BD278" s="496"/>
      <c r="BE278" s="496"/>
      <c r="BF278" s="496"/>
      <c r="BG278" s="496"/>
      <c r="BH278" s="496"/>
      <c r="BI278" s="496"/>
      <c r="BJ278" s="496"/>
      <c r="BK278" s="496"/>
      <c r="BL278" s="496"/>
      <c r="BM278" s="496"/>
      <c r="BN278" s="496"/>
      <c r="BO278" s="496"/>
      <c r="BP278" s="496"/>
      <c r="BQ278" s="496"/>
      <c r="BR278" s="496"/>
      <c r="BS278" s="496"/>
      <c r="BT278" s="496"/>
      <c r="BU278" s="496"/>
      <c r="BV278" s="496"/>
      <c r="BW278" s="496"/>
      <c r="BX278" s="496"/>
      <c r="BY278" s="496"/>
      <c r="BZ278" s="496"/>
      <c r="CA278" s="496"/>
    </row>
    <row r="279" spans="7:79">
      <c r="G279" s="496"/>
      <c r="H279" s="496"/>
      <c r="I279" s="496"/>
      <c r="J279" s="496"/>
      <c r="K279" s="496"/>
      <c r="L279" s="496"/>
      <c r="M279" s="496"/>
      <c r="N279" s="496"/>
      <c r="O279" s="496"/>
      <c r="P279" s="496"/>
      <c r="Q279" s="496"/>
      <c r="R279" s="496"/>
      <c r="S279" s="496"/>
      <c r="T279" s="496"/>
      <c r="U279" s="496"/>
      <c r="V279" s="496"/>
      <c r="W279" s="496"/>
      <c r="X279" s="496"/>
      <c r="Y279" s="496"/>
      <c r="Z279" s="496"/>
      <c r="AA279" s="496"/>
      <c r="AB279" s="496"/>
      <c r="AC279" s="496"/>
      <c r="AD279" s="496"/>
      <c r="AE279" s="496"/>
      <c r="AF279" s="496"/>
      <c r="AG279" s="496"/>
      <c r="AH279" s="496"/>
      <c r="AI279" s="496"/>
      <c r="AJ279" s="496"/>
      <c r="AK279" s="496"/>
      <c r="AL279" s="496"/>
      <c r="AM279" s="496"/>
      <c r="AN279" s="496"/>
      <c r="AO279" s="496"/>
      <c r="AP279" s="496"/>
      <c r="AQ279" s="496"/>
      <c r="AR279" s="496"/>
      <c r="AS279" s="496"/>
      <c r="AT279" s="496"/>
      <c r="AU279" s="496"/>
      <c r="AV279" s="496"/>
      <c r="AW279" s="496"/>
      <c r="AX279" s="496"/>
      <c r="AY279" s="496"/>
      <c r="AZ279" s="496"/>
      <c r="BA279" s="496"/>
      <c r="BB279" s="496"/>
      <c r="BC279" s="496"/>
      <c r="BD279" s="496"/>
      <c r="BE279" s="496"/>
      <c r="BF279" s="496"/>
      <c r="BG279" s="496"/>
      <c r="BH279" s="496"/>
      <c r="BI279" s="496"/>
      <c r="BJ279" s="496"/>
      <c r="BK279" s="496"/>
      <c r="BL279" s="496"/>
      <c r="BM279" s="496"/>
      <c r="BN279" s="496"/>
      <c r="BO279" s="496"/>
      <c r="BP279" s="496"/>
      <c r="BQ279" s="496"/>
      <c r="BR279" s="496"/>
      <c r="BS279" s="496"/>
      <c r="BT279" s="496"/>
      <c r="BU279" s="496"/>
      <c r="BV279" s="496"/>
      <c r="BW279" s="496"/>
      <c r="BX279" s="496"/>
      <c r="BY279" s="496"/>
      <c r="BZ279" s="496"/>
      <c r="CA279" s="496"/>
    </row>
    <row r="280" spans="7:79">
      <c r="G280" s="496"/>
      <c r="H280" s="496"/>
      <c r="I280" s="496"/>
      <c r="J280" s="496"/>
      <c r="K280" s="496"/>
      <c r="L280" s="496"/>
      <c r="M280" s="496"/>
      <c r="N280" s="496"/>
      <c r="O280" s="496"/>
      <c r="P280" s="496"/>
      <c r="Q280" s="496"/>
      <c r="R280" s="496"/>
      <c r="S280" s="496"/>
      <c r="T280" s="496"/>
      <c r="U280" s="496"/>
      <c r="V280" s="496"/>
      <c r="W280" s="496"/>
      <c r="X280" s="496"/>
      <c r="Y280" s="496"/>
      <c r="Z280" s="496"/>
      <c r="AA280" s="496"/>
      <c r="AB280" s="496"/>
      <c r="AC280" s="496"/>
      <c r="AD280" s="496"/>
      <c r="AE280" s="496"/>
      <c r="AF280" s="496"/>
      <c r="AG280" s="496"/>
      <c r="AH280" s="496"/>
      <c r="AI280" s="496"/>
      <c r="AJ280" s="496"/>
      <c r="AK280" s="496"/>
      <c r="AL280" s="496"/>
      <c r="AM280" s="496"/>
      <c r="AN280" s="496"/>
      <c r="AO280" s="496"/>
      <c r="AP280" s="496"/>
      <c r="AQ280" s="496"/>
      <c r="AR280" s="496"/>
      <c r="AS280" s="496"/>
      <c r="AT280" s="496"/>
      <c r="AU280" s="496"/>
      <c r="AV280" s="496"/>
      <c r="AW280" s="496"/>
      <c r="AX280" s="496"/>
      <c r="AY280" s="496"/>
      <c r="AZ280" s="496"/>
      <c r="BA280" s="496"/>
      <c r="BB280" s="496"/>
      <c r="BC280" s="496"/>
      <c r="BD280" s="496"/>
      <c r="BE280" s="496"/>
      <c r="BF280" s="496"/>
      <c r="BG280" s="496"/>
      <c r="BH280" s="496"/>
      <c r="BI280" s="496"/>
      <c r="BJ280" s="496"/>
      <c r="BK280" s="496"/>
      <c r="BL280" s="496"/>
      <c r="BM280" s="496"/>
      <c r="BN280" s="496"/>
      <c r="BO280" s="496"/>
      <c r="BP280" s="496"/>
      <c r="BQ280" s="496"/>
      <c r="BR280" s="496"/>
      <c r="BS280" s="496"/>
      <c r="BT280" s="496"/>
      <c r="BU280" s="496"/>
      <c r="BV280" s="496"/>
      <c r="BW280" s="496"/>
      <c r="BX280" s="496"/>
      <c r="BY280" s="496"/>
      <c r="BZ280" s="496"/>
      <c r="CA280" s="496"/>
    </row>
    <row r="281" spans="7:79">
      <c r="G281" s="496"/>
      <c r="H281" s="496"/>
      <c r="I281" s="496"/>
      <c r="J281" s="496"/>
      <c r="K281" s="496"/>
      <c r="L281" s="496"/>
      <c r="M281" s="496"/>
      <c r="N281" s="496"/>
      <c r="O281" s="496"/>
      <c r="P281" s="496"/>
      <c r="Q281" s="496"/>
      <c r="R281" s="496"/>
      <c r="S281" s="496"/>
      <c r="T281" s="496"/>
      <c r="U281" s="496"/>
      <c r="V281" s="496"/>
      <c r="W281" s="496"/>
      <c r="X281" s="496"/>
      <c r="Y281" s="496"/>
      <c r="Z281" s="496"/>
      <c r="AA281" s="496"/>
      <c r="AB281" s="496"/>
      <c r="AC281" s="496"/>
      <c r="AD281" s="496"/>
      <c r="AE281" s="496"/>
      <c r="AF281" s="496"/>
      <c r="AG281" s="496"/>
      <c r="AH281" s="496"/>
      <c r="AI281" s="496"/>
      <c r="AJ281" s="496"/>
      <c r="AK281" s="496"/>
      <c r="AL281" s="496"/>
      <c r="AM281" s="496"/>
      <c r="AN281" s="496"/>
      <c r="AO281" s="496"/>
      <c r="AP281" s="496"/>
      <c r="AQ281" s="496"/>
      <c r="AR281" s="496"/>
      <c r="AS281" s="496"/>
      <c r="AT281" s="496"/>
      <c r="AU281" s="496"/>
      <c r="AV281" s="496"/>
      <c r="AW281" s="496"/>
      <c r="AX281" s="496"/>
      <c r="AY281" s="496"/>
      <c r="AZ281" s="496"/>
      <c r="BA281" s="496"/>
      <c r="BB281" s="496"/>
      <c r="BC281" s="496"/>
      <c r="BD281" s="496"/>
      <c r="BE281" s="496"/>
      <c r="BF281" s="496"/>
      <c r="BG281" s="496"/>
      <c r="BH281" s="496"/>
      <c r="BI281" s="496"/>
      <c r="BJ281" s="496"/>
      <c r="BK281" s="496"/>
      <c r="BL281" s="496"/>
      <c r="BM281" s="496"/>
      <c r="BN281" s="496"/>
      <c r="BO281" s="496"/>
      <c r="BP281" s="496"/>
      <c r="BQ281" s="496"/>
      <c r="BR281" s="496"/>
      <c r="BS281" s="496"/>
      <c r="BT281" s="496"/>
      <c r="BU281" s="496"/>
      <c r="BV281" s="496"/>
      <c r="BW281" s="496"/>
      <c r="BX281" s="496"/>
      <c r="BY281" s="496"/>
      <c r="BZ281" s="496"/>
      <c r="CA281" s="496"/>
    </row>
    <row r="282" spans="7:79">
      <c r="G282" s="496"/>
      <c r="H282" s="496"/>
      <c r="I282" s="496"/>
      <c r="J282" s="496"/>
      <c r="K282" s="496"/>
      <c r="L282" s="496"/>
      <c r="M282" s="496"/>
      <c r="N282" s="496"/>
      <c r="O282" s="496"/>
      <c r="P282" s="496"/>
      <c r="Q282" s="496"/>
      <c r="R282" s="496"/>
      <c r="S282" s="496"/>
      <c r="T282" s="496"/>
      <c r="U282" s="496"/>
      <c r="V282" s="496"/>
      <c r="W282" s="496"/>
      <c r="X282" s="496"/>
      <c r="Y282" s="496"/>
      <c r="Z282" s="496"/>
      <c r="AA282" s="496"/>
      <c r="AB282" s="496"/>
      <c r="AC282" s="496"/>
      <c r="AD282" s="496"/>
      <c r="AE282" s="496"/>
      <c r="AF282" s="496"/>
      <c r="AG282" s="496"/>
      <c r="AH282" s="496"/>
      <c r="AI282" s="496"/>
      <c r="AJ282" s="496"/>
      <c r="AK282" s="496"/>
      <c r="AL282" s="496"/>
      <c r="AM282" s="496"/>
      <c r="AN282" s="496"/>
      <c r="AO282" s="496"/>
      <c r="AP282" s="496"/>
      <c r="AQ282" s="496"/>
      <c r="AR282" s="496"/>
      <c r="AS282" s="496"/>
      <c r="AT282" s="496"/>
      <c r="AU282" s="496"/>
      <c r="AV282" s="496"/>
      <c r="AW282" s="496"/>
      <c r="AX282" s="496"/>
      <c r="AY282" s="496"/>
      <c r="AZ282" s="496"/>
      <c r="BA282" s="496"/>
      <c r="BB282" s="496"/>
      <c r="BC282" s="496"/>
      <c r="BD282" s="496"/>
      <c r="BE282" s="496"/>
      <c r="BF282" s="496"/>
      <c r="BG282" s="496"/>
      <c r="BH282" s="496"/>
      <c r="BI282" s="496"/>
      <c r="BJ282" s="496"/>
      <c r="BK282" s="496"/>
      <c r="BL282" s="496"/>
      <c r="BM282" s="496"/>
      <c r="BN282" s="496"/>
      <c r="BO282" s="496"/>
      <c r="BP282" s="496"/>
      <c r="BQ282" s="496"/>
      <c r="BR282" s="496"/>
      <c r="BS282" s="496"/>
      <c r="BT282" s="496"/>
      <c r="BU282" s="496"/>
      <c r="BV282" s="496"/>
      <c r="BW282" s="496"/>
      <c r="BX282" s="496"/>
      <c r="BY282" s="496"/>
      <c r="BZ282" s="496"/>
      <c r="CA282" s="496"/>
    </row>
    <row r="283" spans="7:79">
      <c r="G283" s="496"/>
      <c r="H283" s="496"/>
      <c r="I283" s="496"/>
      <c r="J283" s="496"/>
      <c r="K283" s="496"/>
      <c r="L283" s="496"/>
      <c r="M283" s="496"/>
      <c r="N283" s="496"/>
      <c r="O283" s="496"/>
      <c r="P283" s="496"/>
      <c r="Q283" s="496"/>
      <c r="R283" s="496"/>
      <c r="S283" s="496"/>
      <c r="T283" s="496"/>
      <c r="U283" s="496"/>
      <c r="V283" s="496"/>
      <c r="W283" s="496"/>
      <c r="X283" s="496"/>
      <c r="Y283" s="496"/>
      <c r="Z283" s="496"/>
      <c r="AA283" s="496"/>
      <c r="AB283" s="496"/>
      <c r="AC283" s="496"/>
      <c r="AD283" s="496"/>
      <c r="AE283" s="496"/>
      <c r="AF283" s="496"/>
      <c r="AG283" s="496"/>
      <c r="AH283" s="496"/>
      <c r="AI283" s="496"/>
      <c r="AJ283" s="496"/>
      <c r="AK283" s="496"/>
      <c r="AL283" s="496"/>
      <c r="AM283" s="496"/>
      <c r="AN283" s="496"/>
      <c r="AO283" s="496"/>
      <c r="AP283" s="496"/>
      <c r="AQ283" s="496"/>
      <c r="AR283" s="496"/>
      <c r="AS283" s="496"/>
      <c r="AT283" s="496"/>
      <c r="AU283" s="496"/>
      <c r="AV283" s="496"/>
      <c r="AW283" s="496"/>
      <c r="AX283" s="496"/>
      <c r="AY283" s="496"/>
      <c r="AZ283" s="496"/>
      <c r="BA283" s="496"/>
      <c r="BB283" s="496"/>
      <c r="BC283" s="496"/>
      <c r="BD283" s="496"/>
      <c r="BE283" s="496"/>
      <c r="BF283" s="496"/>
      <c r="BG283" s="496"/>
      <c r="BH283" s="496"/>
      <c r="BI283" s="496"/>
      <c r="BJ283" s="496"/>
      <c r="BK283" s="496"/>
      <c r="BL283" s="496"/>
      <c r="BM283" s="496"/>
      <c r="BN283" s="496"/>
      <c r="BO283" s="496"/>
      <c r="BP283" s="496"/>
      <c r="BQ283" s="496"/>
      <c r="BR283" s="496"/>
      <c r="BS283" s="496"/>
      <c r="BT283" s="496"/>
      <c r="BU283" s="496"/>
      <c r="BV283" s="496"/>
      <c r="BW283" s="496"/>
      <c r="BX283" s="496"/>
      <c r="BY283" s="496"/>
      <c r="BZ283" s="496"/>
      <c r="CA283" s="496"/>
    </row>
    <row r="284" spans="7:79">
      <c r="G284" s="496"/>
      <c r="H284" s="496"/>
      <c r="I284" s="496"/>
      <c r="J284" s="496"/>
      <c r="K284" s="496"/>
      <c r="L284" s="496"/>
      <c r="M284" s="496"/>
      <c r="N284" s="496"/>
      <c r="O284" s="496"/>
      <c r="P284" s="496"/>
      <c r="Q284" s="496"/>
      <c r="R284" s="496"/>
      <c r="S284" s="496"/>
      <c r="T284" s="496"/>
      <c r="U284" s="496"/>
      <c r="V284" s="496"/>
      <c r="W284" s="496"/>
      <c r="X284" s="496"/>
      <c r="Y284" s="496"/>
      <c r="Z284" s="496"/>
      <c r="AA284" s="496"/>
      <c r="AB284" s="496"/>
      <c r="AC284" s="496"/>
      <c r="AD284" s="496"/>
      <c r="AE284" s="496"/>
      <c r="AF284" s="496"/>
      <c r="AG284" s="496"/>
      <c r="AH284" s="496"/>
      <c r="AI284" s="496"/>
      <c r="AJ284" s="496"/>
      <c r="AK284" s="496"/>
      <c r="AL284" s="496"/>
      <c r="AM284" s="496"/>
      <c r="AN284" s="496"/>
      <c r="AO284" s="496"/>
      <c r="AP284" s="496"/>
      <c r="AQ284" s="496"/>
      <c r="AR284" s="496"/>
      <c r="AS284" s="496"/>
      <c r="AT284" s="496"/>
      <c r="AU284" s="496"/>
      <c r="AV284" s="496"/>
      <c r="AW284" s="496"/>
      <c r="AX284" s="496"/>
      <c r="AY284" s="496"/>
      <c r="AZ284" s="496"/>
      <c r="BA284" s="496"/>
      <c r="BB284" s="496"/>
      <c r="BC284" s="496"/>
      <c r="BD284" s="496"/>
      <c r="BE284" s="496"/>
      <c r="BF284" s="496"/>
      <c r="BG284" s="496"/>
      <c r="BH284" s="496"/>
      <c r="BI284" s="496"/>
      <c r="BJ284" s="496"/>
      <c r="BK284" s="496"/>
      <c r="BL284" s="496"/>
      <c r="BM284" s="496"/>
      <c r="BN284" s="496"/>
      <c r="BO284" s="496"/>
      <c r="BP284" s="496"/>
      <c r="BQ284" s="496"/>
      <c r="BR284" s="496"/>
      <c r="BS284" s="496"/>
      <c r="BT284" s="496"/>
      <c r="BU284" s="496"/>
      <c r="BV284" s="496"/>
      <c r="BW284" s="496"/>
      <c r="BX284" s="496"/>
      <c r="BY284" s="496"/>
      <c r="BZ284" s="496"/>
      <c r="CA284" s="496"/>
    </row>
    <row r="285" spans="7:79">
      <c r="G285" s="496"/>
      <c r="H285" s="496"/>
      <c r="I285" s="496"/>
      <c r="J285" s="496"/>
      <c r="K285" s="496"/>
      <c r="L285" s="496"/>
      <c r="M285" s="496"/>
      <c r="N285" s="496"/>
      <c r="O285" s="496"/>
      <c r="P285" s="496"/>
      <c r="Q285" s="496"/>
      <c r="R285" s="496"/>
      <c r="S285" s="496"/>
      <c r="T285" s="496"/>
      <c r="U285" s="496"/>
      <c r="V285" s="496"/>
      <c r="W285" s="496"/>
      <c r="X285" s="496"/>
      <c r="Y285" s="496"/>
      <c r="Z285" s="496"/>
      <c r="AA285" s="496"/>
      <c r="AB285" s="496"/>
      <c r="AC285" s="496"/>
      <c r="AD285" s="496"/>
      <c r="AE285" s="496"/>
      <c r="AF285" s="496"/>
      <c r="AG285" s="496"/>
      <c r="AH285" s="496"/>
      <c r="AI285" s="496"/>
      <c r="AJ285" s="496"/>
      <c r="AK285" s="496"/>
      <c r="AL285" s="496"/>
      <c r="AM285" s="496"/>
      <c r="AN285" s="496"/>
      <c r="AO285" s="496"/>
      <c r="AP285" s="496"/>
      <c r="AQ285" s="496"/>
      <c r="AR285" s="496"/>
      <c r="AS285" s="496"/>
      <c r="AT285" s="496"/>
      <c r="AU285" s="496"/>
      <c r="AV285" s="496"/>
      <c r="AW285" s="496"/>
      <c r="AX285" s="496"/>
      <c r="AY285" s="496"/>
      <c r="AZ285" s="496"/>
      <c r="BA285" s="496"/>
      <c r="BB285" s="496"/>
      <c r="BC285" s="496"/>
      <c r="BD285" s="496"/>
      <c r="BE285" s="496"/>
      <c r="BF285" s="496"/>
      <c r="BG285" s="496"/>
      <c r="BH285" s="496"/>
      <c r="BI285" s="496"/>
      <c r="BJ285" s="496"/>
      <c r="BK285" s="496"/>
      <c r="BL285" s="496"/>
      <c r="BM285" s="496"/>
      <c r="BN285" s="496"/>
      <c r="BO285" s="496"/>
      <c r="BP285" s="496"/>
      <c r="BQ285" s="496"/>
      <c r="BR285" s="496"/>
      <c r="BS285" s="496"/>
      <c r="BT285" s="496"/>
      <c r="BU285" s="496"/>
      <c r="BV285" s="496"/>
      <c r="BW285" s="496"/>
      <c r="BX285" s="496"/>
      <c r="BY285" s="496"/>
      <c r="BZ285" s="496"/>
      <c r="CA285" s="496"/>
    </row>
    <row r="286" spans="7:79">
      <c r="G286" s="496"/>
      <c r="H286" s="496"/>
      <c r="I286" s="496"/>
      <c r="J286" s="496"/>
      <c r="K286" s="496"/>
      <c r="L286" s="496"/>
      <c r="M286" s="496"/>
      <c r="N286" s="496"/>
      <c r="O286" s="496"/>
      <c r="P286" s="496"/>
      <c r="Q286" s="496"/>
      <c r="R286" s="496"/>
      <c r="S286" s="496"/>
      <c r="T286" s="496"/>
      <c r="U286" s="496"/>
      <c r="V286" s="496"/>
      <c r="W286" s="496"/>
      <c r="X286" s="496"/>
      <c r="Y286" s="496"/>
      <c r="Z286" s="496"/>
      <c r="AA286" s="496"/>
      <c r="AB286" s="496"/>
      <c r="AC286" s="496"/>
      <c r="AD286" s="496"/>
      <c r="AE286" s="496"/>
      <c r="AF286" s="496"/>
      <c r="AG286" s="496"/>
      <c r="AH286" s="496"/>
      <c r="AI286" s="496"/>
      <c r="AJ286" s="496"/>
      <c r="AK286" s="496"/>
      <c r="AL286" s="496"/>
      <c r="AM286" s="496"/>
      <c r="AN286" s="496"/>
      <c r="AO286" s="496"/>
      <c r="AP286" s="496"/>
      <c r="AQ286" s="496"/>
      <c r="AR286" s="496"/>
      <c r="AS286" s="496"/>
      <c r="AT286" s="496"/>
      <c r="AU286" s="496"/>
      <c r="AV286" s="496"/>
      <c r="AW286" s="496"/>
      <c r="AX286" s="496"/>
      <c r="AY286" s="496"/>
      <c r="AZ286" s="496"/>
      <c r="BA286" s="496"/>
      <c r="BB286" s="496"/>
      <c r="BC286" s="496"/>
      <c r="BD286" s="496"/>
      <c r="BE286" s="496"/>
      <c r="BF286" s="496"/>
      <c r="BG286" s="496"/>
      <c r="BH286" s="496"/>
      <c r="BI286" s="496"/>
      <c r="BJ286" s="496"/>
      <c r="BK286" s="496"/>
      <c r="BL286" s="496"/>
      <c r="BM286" s="496"/>
      <c r="BN286" s="496"/>
      <c r="BO286" s="496"/>
      <c r="BP286" s="496"/>
      <c r="BQ286" s="496"/>
      <c r="BR286" s="496"/>
      <c r="BS286" s="496"/>
      <c r="BT286" s="496"/>
      <c r="BU286" s="496"/>
      <c r="BV286" s="496"/>
      <c r="BW286" s="496"/>
      <c r="BX286" s="496"/>
      <c r="BY286" s="496"/>
      <c r="BZ286" s="496"/>
      <c r="CA286" s="496"/>
    </row>
    <row r="287" spans="7:79">
      <c r="G287" s="496"/>
      <c r="H287" s="496"/>
      <c r="I287" s="496"/>
      <c r="J287" s="496"/>
      <c r="K287" s="496"/>
      <c r="L287" s="496"/>
      <c r="M287" s="496"/>
      <c r="N287" s="496"/>
      <c r="O287" s="496"/>
      <c r="P287" s="496"/>
      <c r="Q287" s="496"/>
      <c r="R287" s="496"/>
      <c r="S287" s="496"/>
      <c r="T287" s="496"/>
      <c r="U287" s="496"/>
      <c r="V287" s="496"/>
      <c r="W287" s="496"/>
      <c r="X287" s="496"/>
      <c r="Y287" s="496"/>
      <c r="Z287" s="496"/>
      <c r="AA287" s="496"/>
      <c r="AB287" s="496"/>
      <c r="AC287" s="496"/>
      <c r="AD287" s="496"/>
      <c r="AE287" s="496"/>
      <c r="AF287" s="496"/>
      <c r="AG287" s="496"/>
      <c r="AH287" s="496"/>
      <c r="AI287" s="496"/>
      <c r="AJ287" s="496"/>
      <c r="AK287" s="496"/>
      <c r="AL287" s="496"/>
      <c r="AM287" s="496"/>
      <c r="AN287" s="496"/>
      <c r="AO287" s="496"/>
      <c r="AP287" s="496"/>
      <c r="AQ287" s="496"/>
      <c r="AR287" s="496"/>
      <c r="AS287" s="496"/>
      <c r="AT287" s="496"/>
      <c r="AU287" s="496"/>
      <c r="AV287" s="496"/>
      <c r="AW287" s="496"/>
      <c r="AX287" s="496"/>
      <c r="AY287" s="496"/>
      <c r="AZ287" s="496"/>
      <c r="BA287" s="496"/>
      <c r="BB287" s="496"/>
      <c r="BC287" s="496"/>
      <c r="BD287" s="496"/>
      <c r="BE287" s="496"/>
      <c r="BF287" s="496"/>
      <c r="BG287" s="496"/>
      <c r="BH287" s="496"/>
      <c r="BI287" s="496"/>
      <c r="BJ287" s="496"/>
      <c r="BK287" s="496"/>
      <c r="BL287" s="496"/>
      <c r="BM287" s="496"/>
      <c r="BN287" s="496"/>
      <c r="BO287" s="496"/>
      <c r="BP287" s="496"/>
      <c r="BQ287" s="496"/>
      <c r="BR287" s="496"/>
      <c r="BS287" s="496"/>
      <c r="BT287" s="496"/>
      <c r="BU287" s="496"/>
      <c r="BV287" s="496"/>
      <c r="BW287" s="496"/>
      <c r="BX287" s="496"/>
      <c r="BY287" s="496"/>
      <c r="BZ287" s="496"/>
      <c r="CA287" s="496"/>
    </row>
    <row r="288" spans="7:79">
      <c r="G288" s="496"/>
      <c r="H288" s="496"/>
      <c r="I288" s="496"/>
      <c r="J288" s="496"/>
      <c r="K288" s="496"/>
      <c r="L288" s="496"/>
      <c r="M288" s="496"/>
      <c r="N288" s="496"/>
      <c r="O288" s="496"/>
      <c r="P288" s="496"/>
      <c r="Q288" s="496"/>
      <c r="R288" s="496"/>
      <c r="S288" s="496"/>
      <c r="T288" s="496"/>
      <c r="U288" s="496"/>
      <c r="V288" s="496"/>
      <c r="W288" s="496"/>
      <c r="X288" s="496"/>
      <c r="Y288" s="496"/>
      <c r="Z288" s="496"/>
      <c r="AA288" s="496"/>
      <c r="AB288" s="496"/>
      <c r="AC288" s="496"/>
      <c r="AD288" s="496"/>
      <c r="AE288" s="496"/>
      <c r="AF288" s="496"/>
      <c r="AG288" s="496"/>
      <c r="AH288" s="496"/>
      <c r="AI288" s="496"/>
      <c r="AJ288" s="496"/>
      <c r="AK288" s="496"/>
      <c r="AL288" s="496"/>
      <c r="AM288" s="496"/>
      <c r="AN288" s="496"/>
      <c r="AO288" s="496"/>
      <c r="AP288" s="496"/>
      <c r="AQ288" s="496"/>
      <c r="AR288" s="496"/>
      <c r="AS288" s="496"/>
      <c r="AT288" s="496"/>
      <c r="AU288" s="496"/>
      <c r="AV288" s="496"/>
      <c r="AW288" s="496"/>
      <c r="AX288" s="496"/>
      <c r="AY288" s="496"/>
      <c r="AZ288" s="496"/>
      <c r="BA288" s="496"/>
      <c r="BB288" s="496"/>
      <c r="BC288" s="496"/>
      <c r="BD288" s="496"/>
      <c r="BE288" s="496"/>
      <c r="BF288" s="496"/>
      <c r="BG288" s="496"/>
      <c r="BH288" s="496"/>
      <c r="BI288" s="496"/>
      <c r="BJ288" s="496"/>
      <c r="BK288" s="496"/>
      <c r="BL288" s="496"/>
      <c r="BM288" s="496"/>
      <c r="BN288" s="496"/>
      <c r="BO288" s="496"/>
      <c r="BP288" s="496"/>
      <c r="BQ288" s="496"/>
      <c r="BR288" s="496"/>
      <c r="BS288" s="496"/>
      <c r="BT288" s="496"/>
      <c r="BU288" s="496"/>
      <c r="BV288" s="496"/>
      <c r="BW288" s="496"/>
      <c r="BX288" s="496"/>
      <c r="BY288" s="496"/>
      <c r="BZ288" s="496"/>
      <c r="CA288" s="496"/>
    </row>
    <row r="289" spans="7:79">
      <c r="G289" s="496"/>
      <c r="H289" s="496"/>
      <c r="I289" s="496"/>
      <c r="J289" s="496"/>
      <c r="K289" s="496"/>
      <c r="L289" s="496"/>
      <c r="M289" s="496"/>
      <c r="N289" s="496"/>
      <c r="O289" s="496"/>
      <c r="P289" s="496"/>
      <c r="Q289" s="496"/>
      <c r="R289" s="496"/>
      <c r="S289" s="496"/>
      <c r="T289" s="496"/>
      <c r="U289" s="496"/>
      <c r="V289" s="496"/>
      <c r="W289" s="496"/>
      <c r="X289" s="496"/>
      <c r="Y289" s="496"/>
      <c r="Z289" s="496"/>
      <c r="AA289" s="496"/>
      <c r="AB289" s="496"/>
      <c r="AC289" s="496"/>
      <c r="AD289" s="496"/>
      <c r="AE289" s="496"/>
      <c r="AF289" s="496"/>
      <c r="AG289" s="496"/>
      <c r="AH289" s="496"/>
      <c r="AI289" s="496"/>
      <c r="AJ289" s="496"/>
      <c r="AK289" s="496"/>
      <c r="AL289" s="496"/>
      <c r="AM289" s="496"/>
      <c r="AN289" s="496"/>
      <c r="AO289" s="496"/>
      <c r="AP289" s="496"/>
      <c r="AQ289" s="496"/>
      <c r="AR289" s="496"/>
      <c r="AS289" s="496"/>
      <c r="AT289" s="496"/>
      <c r="AU289" s="496"/>
      <c r="AV289" s="496"/>
      <c r="AW289" s="496"/>
      <c r="AX289" s="496"/>
      <c r="AY289" s="496"/>
      <c r="AZ289" s="496"/>
      <c r="BA289" s="496"/>
      <c r="BB289" s="496"/>
      <c r="BC289" s="496"/>
      <c r="BD289" s="496"/>
      <c r="BE289" s="496"/>
      <c r="BF289" s="496"/>
      <c r="BG289" s="496"/>
      <c r="BH289" s="496"/>
      <c r="BI289" s="496"/>
      <c r="BJ289" s="496"/>
      <c r="BK289" s="496"/>
      <c r="BL289" s="496"/>
      <c r="BM289" s="496"/>
      <c r="BN289" s="496"/>
      <c r="BO289" s="496"/>
      <c r="BP289" s="496"/>
      <c r="BQ289" s="496"/>
      <c r="BR289" s="496"/>
      <c r="BS289" s="496"/>
      <c r="BT289" s="496"/>
      <c r="BU289" s="496"/>
      <c r="BV289" s="496"/>
      <c r="BW289" s="496"/>
      <c r="BX289" s="496"/>
      <c r="BY289" s="496"/>
      <c r="BZ289" s="496"/>
      <c r="CA289" s="496"/>
    </row>
    <row r="290" spans="7:79">
      <c r="G290" s="496"/>
      <c r="H290" s="496"/>
      <c r="I290" s="496"/>
      <c r="J290" s="496"/>
      <c r="K290" s="496"/>
      <c r="L290" s="496"/>
      <c r="M290" s="496"/>
      <c r="N290" s="496"/>
      <c r="O290" s="496"/>
      <c r="P290" s="496"/>
      <c r="Q290" s="496"/>
      <c r="R290" s="496"/>
      <c r="S290" s="496"/>
      <c r="T290" s="496"/>
      <c r="U290" s="496"/>
      <c r="V290" s="496"/>
      <c r="W290" s="496"/>
      <c r="X290" s="496"/>
      <c r="Y290" s="496"/>
      <c r="Z290" s="496"/>
      <c r="AA290" s="496"/>
      <c r="AB290" s="496"/>
      <c r="AC290" s="496"/>
      <c r="AD290" s="496"/>
      <c r="AE290" s="496"/>
      <c r="AF290" s="496"/>
      <c r="AG290" s="496"/>
      <c r="AH290" s="496"/>
      <c r="AI290" s="496"/>
      <c r="AJ290" s="496"/>
      <c r="AK290" s="496"/>
      <c r="AL290" s="496"/>
      <c r="AM290" s="496"/>
      <c r="AN290" s="496"/>
      <c r="AO290" s="496"/>
      <c r="AP290" s="496"/>
      <c r="AQ290" s="496"/>
      <c r="AR290" s="496"/>
      <c r="AS290" s="496"/>
      <c r="AT290" s="496"/>
      <c r="AU290" s="496"/>
      <c r="AV290" s="496"/>
      <c r="AW290" s="496"/>
      <c r="AX290" s="496"/>
      <c r="AY290" s="496"/>
      <c r="AZ290" s="496"/>
      <c r="BA290" s="496"/>
      <c r="BB290" s="496"/>
      <c r="BC290" s="496"/>
      <c r="BD290" s="496"/>
      <c r="BE290" s="496"/>
      <c r="BF290" s="496"/>
      <c r="BG290" s="496"/>
      <c r="BH290" s="496"/>
      <c r="BI290" s="496"/>
      <c r="BJ290" s="496"/>
      <c r="BK290" s="496"/>
      <c r="BL290" s="496"/>
      <c r="BM290" s="496"/>
      <c r="BN290" s="496"/>
      <c r="BO290" s="496"/>
      <c r="BP290" s="496"/>
      <c r="BQ290" s="496"/>
      <c r="BR290" s="496"/>
      <c r="BS290" s="496"/>
      <c r="BT290" s="496"/>
      <c r="BU290" s="496"/>
      <c r="BV290" s="496"/>
      <c r="BW290" s="496"/>
      <c r="BX290" s="496"/>
      <c r="BY290" s="496"/>
      <c r="BZ290" s="496"/>
      <c r="CA290" s="496"/>
    </row>
    <row r="291" spans="7:79">
      <c r="G291" s="496"/>
      <c r="H291" s="496"/>
      <c r="I291" s="496"/>
      <c r="J291" s="496"/>
      <c r="K291" s="496"/>
      <c r="L291" s="496"/>
      <c r="M291" s="496"/>
      <c r="N291" s="496"/>
      <c r="O291" s="496"/>
      <c r="P291" s="496"/>
      <c r="Q291" s="496"/>
      <c r="R291" s="496"/>
      <c r="S291" s="496"/>
      <c r="T291" s="496"/>
      <c r="U291" s="496"/>
      <c r="V291" s="496"/>
      <c r="W291" s="496"/>
      <c r="X291" s="496"/>
      <c r="Y291" s="496"/>
      <c r="Z291" s="496"/>
      <c r="AA291" s="496"/>
      <c r="AB291" s="496"/>
      <c r="AC291" s="496"/>
      <c r="AD291" s="496"/>
      <c r="AE291" s="496"/>
      <c r="AF291" s="496"/>
      <c r="AG291" s="496"/>
      <c r="AH291" s="496"/>
      <c r="AI291" s="496"/>
      <c r="AJ291" s="496"/>
      <c r="AK291" s="496"/>
      <c r="AL291" s="496"/>
      <c r="AM291" s="496"/>
      <c r="AN291" s="496"/>
      <c r="AO291" s="496"/>
      <c r="AP291" s="496"/>
      <c r="AQ291" s="496"/>
      <c r="AR291" s="496"/>
      <c r="AS291" s="496"/>
      <c r="AT291" s="496"/>
      <c r="AU291" s="496"/>
      <c r="AV291" s="496"/>
      <c r="AW291" s="496"/>
      <c r="AX291" s="496"/>
      <c r="AY291" s="496"/>
      <c r="AZ291" s="496"/>
      <c r="BA291" s="496"/>
      <c r="BB291" s="496"/>
      <c r="BC291" s="496"/>
      <c r="BD291" s="496"/>
      <c r="BE291" s="496"/>
      <c r="BF291" s="496"/>
      <c r="BG291" s="496"/>
      <c r="BH291" s="496"/>
      <c r="BI291" s="496"/>
      <c r="BJ291" s="496"/>
      <c r="BK291" s="496"/>
      <c r="BL291" s="496"/>
      <c r="BM291" s="496"/>
      <c r="BN291" s="496"/>
      <c r="BO291" s="496"/>
      <c r="BP291" s="496"/>
      <c r="BQ291" s="496"/>
      <c r="BR291" s="496"/>
      <c r="BS291" s="496"/>
      <c r="BT291" s="496"/>
      <c r="BU291" s="496"/>
      <c r="BV291" s="496"/>
      <c r="BW291" s="496"/>
      <c r="BX291" s="496"/>
      <c r="BY291" s="496"/>
      <c r="BZ291" s="496"/>
      <c r="CA291" s="496"/>
    </row>
    <row r="292" spans="7:79">
      <c r="G292" s="496"/>
      <c r="H292" s="496"/>
      <c r="I292" s="496"/>
      <c r="J292" s="496"/>
      <c r="K292" s="496"/>
      <c r="L292" s="496"/>
      <c r="M292" s="496"/>
      <c r="N292" s="496"/>
      <c r="O292" s="496"/>
      <c r="P292" s="496"/>
      <c r="Q292" s="496"/>
      <c r="R292" s="496"/>
      <c r="S292" s="496"/>
      <c r="T292" s="496"/>
      <c r="U292" s="496"/>
      <c r="V292" s="496"/>
      <c r="W292" s="496"/>
      <c r="X292" s="496"/>
      <c r="Y292" s="496"/>
      <c r="Z292" s="496"/>
      <c r="AA292" s="496"/>
      <c r="AB292" s="496"/>
      <c r="AC292" s="496"/>
      <c r="AD292" s="496"/>
      <c r="AE292" s="496"/>
      <c r="AF292" s="496"/>
      <c r="AG292" s="496"/>
      <c r="AH292" s="496"/>
      <c r="AI292" s="496"/>
      <c r="AJ292" s="496"/>
      <c r="AK292" s="496"/>
      <c r="AL292" s="496"/>
      <c r="AM292" s="496"/>
      <c r="AN292" s="496"/>
      <c r="AO292" s="496"/>
      <c r="AP292" s="496"/>
      <c r="AQ292" s="496"/>
      <c r="AR292" s="496"/>
      <c r="AS292" s="496"/>
      <c r="AT292" s="496"/>
      <c r="AU292" s="496"/>
      <c r="AV292" s="496"/>
      <c r="AW292" s="496"/>
      <c r="AX292" s="496"/>
      <c r="AY292" s="496"/>
      <c r="AZ292" s="496"/>
      <c r="BA292" s="496"/>
      <c r="BB292" s="496"/>
      <c r="BC292" s="496"/>
      <c r="BD292" s="496"/>
      <c r="BE292" s="496"/>
      <c r="BF292" s="496"/>
      <c r="BG292" s="496"/>
      <c r="BH292" s="496"/>
      <c r="BI292" s="496"/>
      <c r="BJ292" s="496"/>
      <c r="BK292" s="496"/>
      <c r="BL292" s="496"/>
      <c r="BM292" s="496"/>
      <c r="BN292" s="496"/>
      <c r="BO292" s="496"/>
      <c r="BP292" s="496"/>
      <c r="BQ292" s="496"/>
      <c r="BR292" s="496"/>
      <c r="BS292" s="496"/>
      <c r="BT292" s="496"/>
      <c r="BU292" s="496"/>
      <c r="BV292" s="496"/>
      <c r="BW292" s="496"/>
      <c r="BX292" s="496"/>
      <c r="BY292" s="496"/>
      <c r="BZ292" s="496"/>
      <c r="CA292" s="496"/>
    </row>
    <row r="293" spans="7:79">
      <c r="G293" s="496"/>
      <c r="H293" s="496"/>
      <c r="I293" s="496"/>
      <c r="J293" s="496"/>
      <c r="K293" s="496"/>
      <c r="L293" s="496"/>
      <c r="M293" s="496"/>
      <c r="N293" s="496"/>
      <c r="O293" s="496"/>
      <c r="P293" s="496"/>
      <c r="Q293" s="496"/>
      <c r="R293" s="496"/>
      <c r="S293" s="496"/>
      <c r="T293" s="496"/>
      <c r="U293" s="496"/>
      <c r="V293" s="496"/>
      <c r="W293" s="496"/>
      <c r="X293" s="496"/>
      <c r="Y293" s="496"/>
      <c r="Z293" s="496"/>
      <c r="AA293" s="496"/>
      <c r="AB293" s="496"/>
      <c r="AC293" s="496"/>
      <c r="AD293" s="496"/>
      <c r="AE293" s="496"/>
      <c r="AF293" s="496"/>
      <c r="AG293" s="496"/>
      <c r="AH293" s="496"/>
      <c r="AI293" s="496"/>
      <c r="AJ293" s="496"/>
      <c r="AK293" s="496"/>
      <c r="AL293" s="496"/>
      <c r="AM293" s="496"/>
      <c r="AN293" s="496"/>
      <c r="AO293" s="496"/>
      <c r="AP293" s="496"/>
      <c r="AQ293" s="496"/>
      <c r="AR293" s="496"/>
      <c r="AS293" s="496"/>
      <c r="AT293" s="496"/>
      <c r="AU293" s="496"/>
      <c r="AV293" s="496"/>
      <c r="AW293" s="496"/>
      <c r="AX293" s="496"/>
      <c r="AY293" s="496"/>
      <c r="AZ293" s="496"/>
      <c r="BA293" s="496"/>
      <c r="BB293" s="496"/>
      <c r="BC293" s="496"/>
      <c r="BD293" s="496"/>
      <c r="BE293" s="496"/>
      <c r="BF293" s="496"/>
      <c r="BG293" s="496"/>
      <c r="BH293" s="496"/>
      <c r="BI293" s="496"/>
      <c r="BJ293" s="496"/>
      <c r="BK293" s="496"/>
      <c r="BL293" s="496"/>
      <c r="BM293" s="496"/>
      <c r="BN293" s="496"/>
      <c r="BO293" s="496"/>
      <c r="BP293" s="496"/>
      <c r="BQ293" s="496"/>
      <c r="BR293" s="496"/>
      <c r="BS293" s="496"/>
      <c r="BT293" s="496"/>
      <c r="BU293" s="496"/>
      <c r="BV293" s="496"/>
      <c r="BW293" s="496"/>
      <c r="BX293" s="496"/>
      <c r="BY293" s="496"/>
      <c r="BZ293" s="496"/>
      <c r="CA293" s="496"/>
    </row>
    <row r="294" spans="7:79">
      <c r="G294" s="496"/>
      <c r="H294" s="496"/>
      <c r="I294" s="496"/>
      <c r="J294" s="496"/>
      <c r="K294" s="496"/>
      <c r="L294" s="496"/>
      <c r="M294" s="496"/>
      <c r="N294" s="496"/>
      <c r="O294" s="496"/>
      <c r="P294" s="496"/>
      <c r="Q294" s="496"/>
      <c r="R294" s="496"/>
      <c r="S294" s="496"/>
      <c r="T294" s="496"/>
      <c r="U294" s="496"/>
      <c r="V294" s="496"/>
      <c r="W294" s="496"/>
      <c r="X294" s="496"/>
      <c r="Y294" s="496"/>
      <c r="Z294" s="496"/>
      <c r="AA294" s="496"/>
      <c r="AB294" s="496"/>
      <c r="AC294" s="496"/>
      <c r="AD294" s="496"/>
      <c r="AE294" s="496"/>
      <c r="AF294" s="496"/>
      <c r="AG294" s="496"/>
      <c r="AH294" s="496"/>
      <c r="AI294" s="496"/>
      <c r="AJ294" s="496"/>
      <c r="AK294" s="496"/>
      <c r="AL294" s="496"/>
      <c r="AM294" s="496"/>
      <c r="AN294" s="496"/>
      <c r="AO294" s="496"/>
      <c r="AP294" s="496"/>
      <c r="AQ294" s="496"/>
      <c r="AR294" s="496"/>
      <c r="AS294" s="496"/>
      <c r="AT294" s="496"/>
      <c r="AU294" s="496"/>
      <c r="AV294" s="496"/>
      <c r="AW294" s="496"/>
      <c r="AX294" s="496"/>
      <c r="AY294" s="496"/>
      <c r="AZ294" s="496"/>
      <c r="BA294" s="496"/>
      <c r="BB294" s="496"/>
      <c r="BC294" s="496"/>
      <c r="BD294" s="496"/>
      <c r="BE294" s="496"/>
      <c r="BF294" s="496"/>
      <c r="BG294" s="496"/>
      <c r="BH294" s="496"/>
      <c r="BI294" s="496"/>
      <c r="BJ294" s="496"/>
      <c r="BK294" s="496"/>
      <c r="BL294" s="496"/>
      <c r="BM294" s="496"/>
      <c r="BN294" s="496"/>
      <c r="BO294" s="496"/>
      <c r="BP294" s="496"/>
      <c r="BQ294" s="496"/>
      <c r="BR294" s="496"/>
      <c r="BS294" s="496"/>
      <c r="BT294" s="496"/>
      <c r="BU294" s="496"/>
      <c r="BV294" s="496"/>
      <c r="BW294" s="496"/>
      <c r="BX294" s="496"/>
      <c r="BY294" s="496"/>
      <c r="BZ294" s="496"/>
      <c r="CA294" s="496"/>
    </row>
    <row r="295" spans="7:79">
      <c r="G295" s="496"/>
      <c r="H295" s="496"/>
      <c r="I295" s="496"/>
      <c r="J295" s="496"/>
      <c r="K295" s="496"/>
      <c r="L295" s="496"/>
      <c r="M295" s="496"/>
      <c r="N295" s="496"/>
      <c r="O295" s="496"/>
      <c r="P295" s="496"/>
      <c r="Q295" s="496"/>
      <c r="R295" s="496"/>
      <c r="S295" s="496"/>
      <c r="T295" s="496"/>
      <c r="U295" s="496"/>
      <c r="V295" s="496"/>
      <c r="W295" s="496"/>
      <c r="X295" s="496"/>
      <c r="Y295" s="496"/>
      <c r="Z295" s="496"/>
      <c r="AA295" s="496"/>
      <c r="AB295" s="496"/>
      <c r="AC295" s="496"/>
      <c r="AD295" s="496"/>
      <c r="AE295" s="496"/>
      <c r="AF295" s="496"/>
      <c r="AG295" s="496"/>
      <c r="AH295" s="496"/>
      <c r="AI295" s="496"/>
      <c r="AJ295" s="496"/>
      <c r="AK295" s="496"/>
      <c r="AL295" s="496"/>
      <c r="AM295" s="496"/>
      <c r="AN295" s="496"/>
      <c r="AO295" s="496"/>
      <c r="AP295" s="496"/>
      <c r="AQ295" s="496"/>
      <c r="AR295" s="496"/>
      <c r="AS295" s="496"/>
      <c r="AT295" s="496"/>
      <c r="AU295" s="496"/>
      <c r="AV295" s="496"/>
      <c r="AW295" s="496"/>
      <c r="AX295" s="496"/>
      <c r="AY295" s="496"/>
      <c r="AZ295" s="496"/>
      <c r="BA295" s="496"/>
      <c r="BB295" s="496"/>
      <c r="BC295" s="496"/>
      <c r="BD295" s="496"/>
      <c r="BE295" s="496"/>
      <c r="BF295" s="496"/>
      <c r="BG295" s="496"/>
      <c r="BH295" s="496"/>
      <c r="BI295" s="496"/>
      <c r="BJ295" s="496"/>
      <c r="BK295" s="496"/>
      <c r="BL295" s="496"/>
      <c r="BM295" s="496"/>
      <c r="BN295" s="496"/>
      <c r="BO295" s="496"/>
      <c r="BP295" s="496"/>
      <c r="BQ295" s="496"/>
      <c r="BR295" s="496"/>
      <c r="BS295" s="496"/>
      <c r="BT295" s="496"/>
      <c r="BU295" s="496"/>
      <c r="BV295" s="496"/>
      <c r="BW295" s="496"/>
      <c r="BX295" s="496"/>
      <c r="BY295" s="496"/>
      <c r="BZ295" s="496"/>
      <c r="CA295" s="496"/>
    </row>
    <row r="296" spans="7:79">
      <c r="G296" s="496"/>
      <c r="H296" s="496"/>
      <c r="I296" s="496"/>
      <c r="J296" s="496"/>
      <c r="K296" s="496"/>
      <c r="L296" s="496"/>
      <c r="M296" s="496"/>
      <c r="N296" s="496"/>
      <c r="O296" s="496"/>
      <c r="P296" s="496"/>
      <c r="Q296" s="496"/>
      <c r="R296" s="496"/>
      <c r="S296" s="496"/>
      <c r="T296" s="496"/>
      <c r="U296" s="496"/>
      <c r="V296" s="496"/>
      <c r="W296" s="496"/>
      <c r="X296" s="496"/>
      <c r="Y296" s="496"/>
      <c r="Z296" s="496"/>
      <c r="AA296" s="496"/>
      <c r="AB296" s="496"/>
      <c r="AC296" s="496"/>
      <c r="AD296" s="496"/>
      <c r="AE296" s="496"/>
      <c r="AF296" s="496"/>
      <c r="AG296" s="496"/>
      <c r="AH296" s="496"/>
      <c r="AI296" s="496"/>
      <c r="AJ296" s="496"/>
      <c r="AK296" s="496"/>
      <c r="AL296" s="496"/>
      <c r="AM296" s="496"/>
      <c r="AN296" s="496"/>
      <c r="AO296" s="496"/>
      <c r="AP296" s="496"/>
      <c r="AQ296" s="496"/>
      <c r="AR296" s="496"/>
      <c r="AS296" s="496"/>
      <c r="AT296" s="496"/>
      <c r="AU296" s="496"/>
      <c r="AV296" s="496"/>
      <c r="AW296" s="496"/>
      <c r="AX296" s="496"/>
      <c r="AY296" s="496"/>
      <c r="AZ296" s="496"/>
      <c r="BA296" s="496"/>
      <c r="BB296" s="496"/>
      <c r="BC296" s="496"/>
      <c r="BD296" s="496"/>
      <c r="BE296" s="496"/>
      <c r="BF296" s="496"/>
      <c r="BG296" s="496"/>
      <c r="BH296" s="496"/>
      <c r="BI296" s="496"/>
      <c r="BJ296" s="496"/>
      <c r="BK296" s="496"/>
      <c r="BL296" s="496"/>
      <c r="BM296" s="496"/>
      <c r="BN296" s="496"/>
      <c r="BO296" s="496"/>
      <c r="BP296" s="496"/>
      <c r="BQ296" s="496"/>
      <c r="BR296" s="496"/>
      <c r="BS296" s="496"/>
      <c r="BT296" s="496"/>
      <c r="BU296" s="496"/>
      <c r="BV296" s="496"/>
      <c r="BW296" s="496"/>
      <c r="BX296" s="496"/>
      <c r="BY296" s="496"/>
      <c r="BZ296" s="496"/>
      <c r="CA296" s="496"/>
    </row>
    <row r="297" spans="7:79">
      <c r="G297" s="496"/>
      <c r="H297" s="496"/>
      <c r="I297" s="496"/>
      <c r="J297" s="496"/>
      <c r="K297" s="496"/>
      <c r="L297" s="496"/>
      <c r="M297" s="496"/>
      <c r="N297" s="496"/>
      <c r="O297" s="496"/>
      <c r="P297" s="496"/>
      <c r="Q297" s="496"/>
      <c r="R297" s="496"/>
      <c r="S297" s="496"/>
      <c r="T297" s="496"/>
      <c r="U297" s="496"/>
      <c r="V297" s="496"/>
      <c r="W297" s="496"/>
      <c r="X297" s="496"/>
      <c r="Y297" s="496"/>
      <c r="Z297" s="496"/>
      <c r="AA297" s="496"/>
      <c r="AB297" s="496"/>
      <c r="AC297" s="496"/>
      <c r="AD297" s="496"/>
      <c r="AE297" s="496"/>
      <c r="AF297" s="496"/>
      <c r="AG297" s="496"/>
      <c r="AH297" s="496"/>
      <c r="AI297" s="496"/>
      <c r="AJ297" s="496"/>
      <c r="AK297" s="496"/>
      <c r="AL297" s="496"/>
      <c r="AM297" s="496"/>
      <c r="AN297" s="496"/>
      <c r="AO297" s="496"/>
      <c r="AP297" s="496"/>
      <c r="AQ297" s="496"/>
      <c r="AR297" s="496"/>
      <c r="AS297" s="496"/>
      <c r="AT297" s="496"/>
      <c r="AU297" s="496"/>
      <c r="AV297" s="496"/>
      <c r="AW297" s="496"/>
      <c r="AX297" s="496"/>
      <c r="AY297" s="496"/>
      <c r="AZ297" s="496"/>
      <c r="BA297" s="496"/>
      <c r="BB297" s="496"/>
      <c r="BC297" s="496"/>
      <c r="BD297" s="496"/>
      <c r="BE297" s="496"/>
      <c r="BF297" s="496"/>
      <c r="BG297" s="496"/>
      <c r="BH297" s="496"/>
      <c r="BI297" s="496"/>
      <c r="BJ297" s="496"/>
      <c r="BK297" s="496"/>
      <c r="BL297" s="496"/>
      <c r="BM297" s="496"/>
      <c r="BN297" s="496"/>
      <c r="BO297" s="496"/>
      <c r="BP297" s="496"/>
      <c r="BQ297" s="496"/>
      <c r="BR297" s="496"/>
      <c r="BS297" s="496"/>
      <c r="BT297" s="496"/>
      <c r="BU297" s="496"/>
      <c r="BV297" s="496"/>
      <c r="BW297" s="496"/>
      <c r="BX297" s="496"/>
      <c r="BY297" s="496"/>
      <c r="BZ297" s="496"/>
      <c r="CA297" s="496"/>
    </row>
    <row r="298" spans="7:79">
      <c r="G298" s="496"/>
      <c r="H298" s="496"/>
      <c r="I298" s="496"/>
      <c r="J298" s="496"/>
      <c r="K298" s="496"/>
      <c r="L298" s="496"/>
      <c r="M298" s="496"/>
      <c r="N298" s="496"/>
      <c r="O298" s="496"/>
      <c r="P298" s="496"/>
      <c r="Q298" s="496"/>
      <c r="R298" s="496"/>
      <c r="S298" s="496"/>
      <c r="T298" s="496"/>
      <c r="U298" s="496"/>
      <c r="V298" s="496"/>
      <c r="W298" s="496"/>
      <c r="X298" s="496"/>
      <c r="Y298" s="496"/>
      <c r="Z298" s="496"/>
      <c r="AA298" s="496"/>
      <c r="AB298" s="496"/>
      <c r="AC298" s="496"/>
      <c r="AD298" s="496"/>
      <c r="AE298" s="496"/>
      <c r="AF298" s="496"/>
      <c r="AG298" s="496"/>
      <c r="AH298" s="496"/>
      <c r="AI298" s="496"/>
      <c r="AJ298" s="496"/>
      <c r="AK298" s="496"/>
      <c r="AL298" s="496"/>
      <c r="AM298" s="496"/>
      <c r="AN298" s="496"/>
      <c r="AO298" s="496"/>
      <c r="AP298" s="496"/>
      <c r="AQ298" s="496"/>
      <c r="AR298" s="496"/>
      <c r="AS298" s="496"/>
      <c r="AT298" s="496"/>
      <c r="AU298" s="496"/>
      <c r="AV298" s="496"/>
      <c r="AW298" s="496"/>
      <c r="AX298" s="496"/>
      <c r="AY298" s="496"/>
      <c r="AZ298" s="496"/>
      <c r="BA298" s="496"/>
      <c r="BB298" s="496"/>
      <c r="BC298" s="496"/>
      <c r="BD298" s="496"/>
      <c r="BE298" s="496"/>
      <c r="BF298" s="496"/>
      <c r="BG298" s="496"/>
      <c r="BH298" s="496"/>
      <c r="BI298" s="496"/>
      <c r="BJ298" s="496"/>
      <c r="BK298" s="496"/>
      <c r="BL298" s="496"/>
      <c r="BM298" s="496"/>
      <c r="BN298" s="496"/>
      <c r="BO298" s="496"/>
      <c r="BP298" s="496"/>
      <c r="BQ298" s="496"/>
      <c r="BR298" s="496"/>
      <c r="BS298" s="496"/>
      <c r="BT298" s="496"/>
      <c r="BU298" s="496"/>
      <c r="BV298" s="496"/>
      <c r="BW298" s="496"/>
      <c r="BX298" s="496"/>
      <c r="BY298" s="496"/>
      <c r="BZ298" s="496"/>
      <c r="CA298" s="496"/>
    </row>
    <row r="299" spans="7:79">
      <c r="G299" s="496"/>
      <c r="H299" s="496"/>
      <c r="I299" s="496"/>
      <c r="J299" s="496"/>
      <c r="K299" s="496"/>
      <c r="L299" s="496"/>
      <c r="M299" s="496"/>
      <c r="N299" s="496"/>
      <c r="O299" s="496"/>
      <c r="P299" s="496"/>
      <c r="Q299" s="496"/>
      <c r="R299" s="496"/>
      <c r="S299" s="496"/>
      <c r="T299" s="496"/>
      <c r="U299" s="496"/>
      <c r="V299" s="496"/>
      <c r="W299" s="496"/>
      <c r="X299" s="496"/>
      <c r="Y299" s="496"/>
      <c r="Z299" s="496"/>
      <c r="AA299" s="496"/>
      <c r="AB299" s="496"/>
      <c r="AC299" s="496"/>
      <c r="AD299" s="496"/>
      <c r="AE299" s="496"/>
      <c r="AF299" s="496"/>
      <c r="AG299" s="496"/>
      <c r="AH299" s="496"/>
      <c r="AI299" s="496"/>
      <c r="AJ299" s="496"/>
      <c r="AK299" s="496"/>
      <c r="AL299" s="496"/>
      <c r="AM299" s="496"/>
      <c r="AN299" s="496"/>
      <c r="AO299" s="496"/>
      <c r="AP299" s="496"/>
      <c r="AQ299" s="496"/>
      <c r="AR299" s="496"/>
      <c r="AS299" s="496"/>
      <c r="AT299" s="496"/>
      <c r="AU299" s="496"/>
      <c r="AV299" s="496"/>
      <c r="AW299" s="496"/>
      <c r="AX299" s="496"/>
      <c r="AY299" s="496"/>
      <c r="AZ299" s="496"/>
      <c r="BA299" s="496"/>
      <c r="BB299" s="496"/>
      <c r="BC299" s="496"/>
      <c r="BD299" s="496"/>
      <c r="BE299" s="496"/>
      <c r="BF299" s="496"/>
      <c r="BG299" s="496"/>
      <c r="BH299" s="496"/>
      <c r="BI299" s="496"/>
      <c r="BJ299" s="496"/>
      <c r="BK299" s="496"/>
      <c r="BL299" s="496"/>
      <c r="BM299" s="496"/>
      <c r="BN299" s="496"/>
      <c r="BO299" s="496"/>
      <c r="BP299" s="496"/>
      <c r="BQ299" s="496"/>
      <c r="BR299" s="496"/>
      <c r="BS299" s="496"/>
      <c r="BT299" s="496"/>
      <c r="BU299" s="496"/>
      <c r="BV299" s="496"/>
      <c r="BW299" s="496"/>
      <c r="BX299" s="496"/>
      <c r="BY299" s="496"/>
      <c r="BZ299" s="496"/>
      <c r="CA299" s="496"/>
    </row>
    <row r="300" spans="7:79">
      <c r="G300" s="496"/>
      <c r="H300" s="496"/>
      <c r="I300" s="496"/>
      <c r="J300" s="496"/>
      <c r="K300" s="496"/>
      <c r="L300" s="496"/>
      <c r="M300" s="496"/>
      <c r="N300" s="496"/>
      <c r="O300" s="496"/>
      <c r="P300" s="496"/>
      <c r="Q300" s="496"/>
      <c r="R300" s="496"/>
      <c r="S300" s="496"/>
      <c r="T300" s="496"/>
      <c r="U300" s="496"/>
      <c r="V300" s="496"/>
      <c r="W300" s="496"/>
      <c r="X300" s="496"/>
      <c r="Y300" s="496"/>
      <c r="Z300" s="496"/>
      <c r="AA300" s="496"/>
      <c r="AB300" s="496"/>
      <c r="AC300" s="496"/>
      <c r="AD300" s="496"/>
      <c r="AE300" s="496"/>
      <c r="AF300" s="496"/>
      <c r="AG300" s="496"/>
      <c r="AH300" s="496"/>
      <c r="AI300" s="496"/>
      <c r="AJ300" s="496"/>
      <c r="AK300" s="496"/>
      <c r="AL300" s="496"/>
      <c r="AM300" s="496"/>
      <c r="AN300" s="496"/>
      <c r="AO300" s="496"/>
      <c r="AP300" s="496"/>
      <c r="AQ300" s="496"/>
      <c r="AR300" s="496"/>
      <c r="AS300" s="496"/>
      <c r="AT300" s="496"/>
      <c r="AU300" s="496"/>
      <c r="AV300" s="496"/>
      <c r="AW300" s="496"/>
      <c r="AX300" s="496"/>
      <c r="AY300" s="496"/>
      <c r="AZ300" s="496"/>
      <c r="BA300" s="496"/>
      <c r="BB300" s="496"/>
      <c r="BC300" s="496"/>
      <c r="BD300" s="496"/>
      <c r="BE300" s="496"/>
      <c r="BF300" s="496"/>
      <c r="BG300" s="496"/>
      <c r="BH300" s="496"/>
      <c r="BI300" s="496"/>
      <c r="BJ300" s="496"/>
      <c r="BK300" s="496"/>
      <c r="BL300" s="496"/>
      <c r="BM300" s="496"/>
      <c r="BN300" s="496"/>
      <c r="BO300" s="496"/>
      <c r="BP300" s="496"/>
      <c r="BQ300" s="496"/>
      <c r="BR300" s="496"/>
      <c r="BS300" s="496"/>
      <c r="BT300" s="496"/>
      <c r="BU300" s="496"/>
      <c r="BV300" s="496"/>
      <c r="BW300" s="496"/>
      <c r="BX300" s="496"/>
      <c r="BY300" s="496"/>
      <c r="BZ300" s="496"/>
      <c r="CA300" s="496"/>
    </row>
    <row r="301" spans="7:79">
      <c r="G301" s="496"/>
      <c r="H301" s="496"/>
      <c r="I301" s="496"/>
      <c r="J301" s="496"/>
      <c r="K301" s="496"/>
      <c r="L301" s="496"/>
      <c r="M301" s="496"/>
      <c r="N301" s="496"/>
      <c r="O301" s="496"/>
      <c r="P301" s="496"/>
      <c r="Q301" s="496"/>
      <c r="R301" s="496"/>
      <c r="S301" s="496"/>
      <c r="T301" s="496"/>
      <c r="U301" s="496"/>
      <c r="V301" s="496"/>
      <c r="W301" s="496"/>
      <c r="X301" s="496"/>
      <c r="Y301" s="496"/>
      <c r="Z301" s="496"/>
      <c r="AA301" s="496"/>
      <c r="AB301" s="496"/>
      <c r="AC301" s="496"/>
      <c r="AD301" s="496"/>
      <c r="AE301" s="496"/>
      <c r="AF301" s="496"/>
      <c r="AG301" s="496"/>
      <c r="AH301" s="496"/>
      <c r="AI301" s="496"/>
      <c r="AJ301" s="496"/>
      <c r="AK301" s="496"/>
      <c r="AL301" s="496"/>
      <c r="AM301" s="496"/>
      <c r="AN301" s="496"/>
      <c r="AO301" s="496"/>
      <c r="AP301" s="496"/>
      <c r="AQ301" s="496"/>
      <c r="AR301" s="496"/>
      <c r="AS301" s="496"/>
      <c r="AT301" s="496"/>
      <c r="AU301" s="496"/>
      <c r="AV301" s="496"/>
      <c r="AW301" s="496"/>
      <c r="AX301" s="496"/>
      <c r="AY301" s="496"/>
      <c r="AZ301" s="496"/>
      <c r="BA301" s="496"/>
      <c r="BB301" s="496"/>
      <c r="BC301" s="496"/>
      <c r="BD301" s="496"/>
      <c r="BE301" s="496"/>
      <c r="BF301" s="496"/>
      <c r="BG301" s="496"/>
      <c r="BH301" s="496"/>
      <c r="BI301" s="496"/>
      <c r="BJ301" s="496"/>
      <c r="BK301" s="496"/>
      <c r="BL301" s="496"/>
      <c r="BM301" s="496"/>
      <c r="BN301" s="496"/>
      <c r="BO301" s="496"/>
      <c r="BP301" s="496"/>
      <c r="BQ301" s="496"/>
      <c r="BR301" s="496"/>
      <c r="BS301" s="496"/>
      <c r="BT301" s="496"/>
      <c r="BU301" s="496"/>
      <c r="BV301" s="496"/>
      <c r="BW301" s="496"/>
      <c r="BX301" s="496"/>
      <c r="BY301" s="496"/>
      <c r="BZ301" s="496"/>
      <c r="CA301" s="496"/>
    </row>
    <row r="302" spans="7:79">
      <c r="G302" s="496"/>
      <c r="H302" s="496"/>
      <c r="I302" s="496"/>
      <c r="J302" s="496"/>
      <c r="K302" s="496"/>
      <c r="L302" s="496"/>
      <c r="M302" s="496"/>
      <c r="N302" s="496"/>
      <c r="O302" s="496"/>
      <c r="P302" s="496"/>
      <c r="Q302" s="496"/>
      <c r="R302" s="496"/>
      <c r="S302" s="496"/>
      <c r="T302" s="496"/>
      <c r="U302" s="496"/>
      <c r="V302" s="496"/>
      <c r="W302" s="496"/>
      <c r="X302" s="496"/>
      <c r="Y302" s="496"/>
      <c r="Z302" s="496"/>
      <c r="AA302" s="496"/>
      <c r="AB302" s="496"/>
      <c r="AC302" s="496"/>
      <c r="AD302" s="496"/>
      <c r="AE302" s="496"/>
      <c r="AF302" s="496"/>
      <c r="AG302" s="496"/>
      <c r="AH302" s="496"/>
      <c r="AI302" s="496"/>
      <c r="AJ302" s="496"/>
      <c r="AK302" s="496"/>
      <c r="AL302" s="496"/>
      <c r="AM302" s="496"/>
      <c r="AN302" s="496"/>
      <c r="AO302" s="496"/>
      <c r="AP302" s="496"/>
      <c r="AQ302" s="496"/>
      <c r="AR302" s="496"/>
      <c r="AS302" s="496"/>
      <c r="AT302" s="496"/>
      <c r="AU302" s="496"/>
      <c r="AV302" s="496"/>
      <c r="AW302" s="496"/>
      <c r="AX302" s="496"/>
      <c r="AY302" s="496"/>
      <c r="AZ302" s="496"/>
      <c r="BA302" s="496"/>
      <c r="BB302" s="496"/>
      <c r="BC302" s="496"/>
      <c r="BD302" s="496"/>
      <c r="BE302" s="496"/>
      <c r="BF302" s="496"/>
      <c r="BG302" s="496"/>
      <c r="BH302" s="496"/>
      <c r="BI302" s="496"/>
      <c r="BJ302" s="496"/>
      <c r="BK302" s="496"/>
      <c r="BL302" s="496"/>
      <c r="BM302" s="496"/>
      <c r="BN302" s="496"/>
      <c r="BO302" s="496"/>
      <c r="BP302" s="496"/>
      <c r="BQ302" s="496"/>
      <c r="BR302" s="496"/>
      <c r="BS302" s="496"/>
      <c r="BT302" s="496"/>
      <c r="BU302" s="496"/>
      <c r="BV302" s="496"/>
      <c r="BW302" s="496"/>
      <c r="BX302" s="496"/>
      <c r="BY302" s="496"/>
      <c r="BZ302" s="496"/>
      <c r="CA302" s="496"/>
    </row>
    <row r="303" spans="7:79">
      <c r="G303" s="496"/>
      <c r="H303" s="496"/>
      <c r="I303" s="496"/>
      <c r="J303" s="496"/>
      <c r="K303" s="496"/>
      <c r="L303" s="496"/>
      <c r="M303" s="496"/>
      <c r="N303" s="496"/>
      <c r="O303" s="496"/>
      <c r="P303" s="496"/>
      <c r="Q303" s="496"/>
      <c r="R303" s="496"/>
      <c r="S303" s="496"/>
      <c r="T303" s="496"/>
      <c r="U303" s="496"/>
      <c r="V303" s="496"/>
      <c r="W303" s="496"/>
      <c r="X303" s="496"/>
      <c r="Y303" s="496"/>
      <c r="Z303" s="496"/>
      <c r="AA303" s="496"/>
      <c r="AB303" s="496"/>
      <c r="AC303" s="496"/>
      <c r="AD303" s="496"/>
      <c r="AE303" s="496"/>
      <c r="AF303" s="496"/>
      <c r="AG303" s="496"/>
      <c r="AH303" s="496"/>
      <c r="AI303" s="496"/>
      <c r="AJ303" s="496"/>
      <c r="AK303" s="496"/>
      <c r="AL303" s="496"/>
      <c r="AM303" s="496"/>
      <c r="AN303" s="496"/>
      <c r="AO303" s="496"/>
      <c r="AP303" s="496"/>
      <c r="AQ303" s="496"/>
      <c r="AR303" s="496"/>
      <c r="AS303" s="496"/>
      <c r="AT303" s="496"/>
      <c r="AU303" s="496"/>
      <c r="AV303" s="496"/>
      <c r="AW303" s="496"/>
      <c r="AX303" s="496"/>
      <c r="AY303" s="496"/>
      <c r="AZ303" s="496"/>
      <c r="BA303" s="496"/>
      <c r="BB303" s="496"/>
      <c r="BC303" s="496"/>
      <c r="BD303" s="496"/>
      <c r="BE303" s="496"/>
      <c r="BF303" s="496"/>
      <c r="BG303" s="496"/>
      <c r="BH303" s="496"/>
      <c r="BI303" s="496"/>
      <c r="BJ303" s="496"/>
      <c r="BK303" s="496"/>
      <c r="BL303" s="496"/>
      <c r="BM303" s="496"/>
      <c r="BN303" s="496"/>
      <c r="BO303" s="496"/>
      <c r="BP303" s="496"/>
      <c r="BQ303" s="496"/>
      <c r="BR303" s="496"/>
      <c r="BS303" s="496"/>
      <c r="BT303" s="496"/>
      <c r="BU303" s="496"/>
      <c r="BV303" s="496"/>
      <c r="BW303" s="496"/>
      <c r="BX303" s="496"/>
      <c r="BY303" s="496"/>
      <c r="BZ303" s="496"/>
      <c r="CA303" s="496"/>
    </row>
    <row r="304" spans="7:79">
      <c r="G304" s="496"/>
      <c r="H304" s="496"/>
      <c r="I304" s="496"/>
      <c r="J304" s="496"/>
      <c r="K304" s="496"/>
      <c r="L304" s="496"/>
      <c r="M304" s="496"/>
      <c r="N304" s="496"/>
      <c r="O304" s="496"/>
      <c r="P304" s="496"/>
      <c r="Q304" s="496"/>
      <c r="R304" s="496"/>
      <c r="S304" s="496"/>
      <c r="T304" s="496"/>
      <c r="U304" s="496"/>
      <c r="V304" s="496"/>
      <c r="W304" s="496"/>
      <c r="X304" s="496"/>
      <c r="Y304" s="496"/>
      <c r="Z304" s="496"/>
      <c r="AA304" s="496"/>
      <c r="AB304" s="496"/>
      <c r="AC304" s="496"/>
      <c r="AD304" s="496"/>
      <c r="AE304" s="496"/>
      <c r="AF304" s="496"/>
      <c r="AG304" s="496"/>
      <c r="AH304" s="496"/>
      <c r="AI304" s="496"/>
      <c r="AJ304" s="496"/>
      <c r="AK304" s="496"/>
      <c r="AL304" s="496"/>
      <c r="AM304" s="496"/>
      <c r="AN304" s="496"/>
      <c r="AO304" s="496"/>
      <c r="AP304" s="496"/>
      <c r="AQ304" s="496"/>
      <c r="AR304" s="496"/>
      <c r="AS304" s="496"/>
      <c r="AT304" s="496"/>
      <c r="AU304" s="496"/>
      <c r="AV304" s="496"/>
      <c r="AW304" s="496"/>
      <c r="AX304" s="496"/>
      <c r="AY304" s="496"/>
      <c r="AZ304" s="496"/>
      <c r="BA304" s="496"/>
      <c r="BB304" s="496"/>
      <c r="BC304" s="496"/>
      <c r="BD304" s="496"/>
      <c r="BE304" s="496"/>
      <c r="BF304" s="496"/>
      <c r="BG304" s="496"/>
      <c r="BH304" s="496"/>
      <c r="BI304" s="496"/>
      <c r="BJ304" s="496"/>
      <c r="BK304" s="496"/>
      <c r="BL304" s="496"/>
      <c r="BM304" s="496"/>
      <c r="BN304" s="496"/>
      <c r="BO304" s="496"/>
      <c r="BP304" s="496"/>
      <c r="BQ304" s="496"/>
      <c r="BR304" s="496"/>
      <c r="BS304" s="496"/>
      <c r="BT304" s="496"/>
      <c r="BU304" s="496"/>
      <c r="BV304" s="496"/>
      <c r="BW304" s="496"/>
      <c r="BX304" s="496"/>
      <c r="BY304" s="496"/>
      <c r="BZ304" s="496"/>
      <c r="CA304" s="496"/>
    </row>
    <row r="305" spans="7:79">
      <c r="G305" s="496"/>
      <c r="H305" s="496"/>
      <c r="I305" s="496"/>
      <c r="J305" s="496"/>
      <c r="K305" s="496"/>
      <c r="L305" s="496"/>
      <c r="M305" s="496"/>
      <c r="N305" s="496"/>
      <c r="O305" s="496"/>
      <c r="P305" s="496"/>
      <c r="Q305" s="496"/>
      <c r="R305" s="496"/>
      <c r="S305" s="496"/>
      <c r="T305" s="496"/>
      <c r="U305" s="496"/>
      <c r="V305" s="496"/>
      <c r="W305" s="496"/>
      <c r="X305" s="496"/>
      <c r="Y305" s="496"/>
      <c r="Z305" s="496"/>
      <c r="AA305" s="496"/>
      <c r="AB305" s="496"/>
      <c r="AC305" s="496"/>
      <c r="AD305" s="496"/>
      <c r="AE305" s="496"/>
      <c r="AF305" s="496"/>
      <c r="AG305" s="496"/>
      <c r="AH305" s="496"/>
      <c r="AI305" s="496"/>
      <c r="AJ305" s="496"/>
      <c r="AK305" s="496"/>
      <c r="AL305" s="496"/>
      <c r="AM305" s="496"/>
      <c r="AN305" s="496"/>
      <c r="AO305" s="496"/>
      <c r="AP305" s="496"/>
      <c r="AQ305" s="496"/>
      <c r="AR305" s="496"/>
      <c r="AS305" s="496"/>
      <c r="AT305" s="496"/>
      <c r="AU305" s="496"/>
      <c r="AV305" s="496"/>
      <c r="AW305" s="496"/>
      <c r="AX305" s="496"/>
      <c r="AY305" s="496"/>
      <c r="AZ305" s="496"/>
      <c r="BA305" s="496"/>
      <c r="BB305" s="496"/>
      <c r="BC305" s="496"/>
      <c r="BD305" s="496"/>
      <c r="BE305" s="496"/>
      <c r="BF305" s="496"/>
      <c r="BG305" s="496"/>
      <c r="BH305" s="496"/>
      <c r="BI305" s="496"/>
      <c r="BJ305" s="496"/>
      <c r="BK305" s="496"/>
      <c r="BL305" s="496"/>
      <c r="BM305" s="496"/>
      <c r="BN305" s="496"/>
      <c r="BO305" s="496"/>
      <c r="BP305" s="496"/>
      <c r="BQ305" s="496"/>
      <c r="BR305" s="496"/>
      <c r="BS305" s="496"/>
      <c r="BT305" s="496"/>
      <c r="BU305" s="496"/>
      <c r="BV305" s="496"/>
      <c r="BW305" s="496"/>
      <c r="BX305" s="496"/>
      <c r="BY305" s="496"/>
      <c r="BZ305" s="496"/>
      <c r="CA305" s="496"/>
    </row>
    <row r="306" spans="7:79">
      <c r="G306" s="496"/>
      <c r="H306" s="496"/>
      <c r="I306" s="496"/>
      <c r="J306" s="496"/>
      <c r="K306" s="496"/>
      <c r="L306" s="496"/>
      <c r="M306" s="496"/>
      <c r="N306" s="496"/>
      <c r="O306" s="496"/>
      <c r="P306" s="496"/>
      <c r="Q306" s="496"/>
      <c r="R306" s="496"/>
      <c r="S306" s="496"/>
      <c r="T306" s="496"/>
      <c r="U306" s="496"/>
      <c r="V306" s="496"/>
      <c r="W306" s="496"/>
      <c r="X306" s="496"/>
      <c r="Y306" s="496"/>
      <c r="Z306" s="496"/>
      <c r="AA306" s="496"/>
      <c r="AB306" s="496"/>
      <c r="AC306" s="496"/>
      <c r="AD306" s="496"/>
      <c r="AE306" s="496"/>
      <c r="AF306" s="496"/>
      <c r="AG306" s="496"/>
      <c r="AH306" s="496"/>
      <c r="AI306" s="496"/>
      <c r="AJ306" s="496"/>
      <c r="AK306" s="496"/>
      <c r="AL306" s="496"/>
      <c r="AM306" s="496"/>
      <c r="AN306" s="496"/>
      <c r="AO306" s="496"/>
      <c r="AP306" s="496"/>
      <c r="AQ306" s="496"/>
      <c r="AR306" s="496"/>
      <c r="AS306" s="496"/>
      <c r="AT306" s="496"/>
      <c r="AU306" s="496"/>
      <c r="AV306" s="496"/>
      <c r="AW306" s="496"/>
      <c r="AX306" s="496"/>
      <c r="AY306" s="496"/>
      <c r="AZ306" s="496"/>
      <c r="BA306" s="496"/>
      <c r="BB306" s="496"/>
      <c r="BC306" s="496"/>
      <c r="BD306" s="496"/>
      <c r="BE306" s="496"/>
      <c r="BF306" s="496"/>
      <c r="BG306" s="496"/>
      <c r="BH306" s="496"/>
      <c r="BI306" s="496"/>
      <c r="BJ306" s="496"/>
      <c r="BK306" s="496"/>
      <c r="BL306" s="496"/>
      <c r="BM306" s="496"/>
      <c r="BN306" s="496"/>
      <c r="BO306" s="496"/>
      <c r="BP306" s="496"/>
      <c r="BQ306" s="496"/>
      <c r="BR306" s="496"/>
      <c r="BS306" s="496"/>
      <c r="BT306" s="496"/>
      <c r="BU306" s="496"/>
      <c r="BV306" s="496"/>
      <c r="BW306" s="496"/>
      <c r="BX306" s="496"/>
      <c r="BY306" s="496"/>
      <c r="BZ306" s="496"/>
      <c r="CA306" s="496"/>
    </row>
    <row r="307" spans="7:79">
      <c r="G307" s="496"/>
      <c r="H307" s="496"/>
      <c r="I307" s="496"/>
      <c r="J307" s="496"/>
      <c r="K307" s="496"/>
      <c r="L307" s="496"/>
      <c r="M307" s="496"/>
      <c r="N307" s="496"/>
      <c r="O307" s="496"/>
      <c r="P307" s="496"/>
      <c r="Q307" s="496"/>
      <c r="R307" s="496"/>
      <c r="S307" s="496"/>
      <c r="T307" s="496"/>
      <c r="U307" s="496"/>
      <c r="V307" s="496"/>
      <c r="W307" s="496"/>
      <c r="X307" s="496"/>
      <c r="Y307" s="496"/>
      <c r="Z307" s="496"/>
      <c r="AA307" s="496"/>
      <c r="AB307" s="496"/>
      <c r="AC307" s="496"/>
      <c r="AD307" s="496"/>
      <c r="AE307" s="496"/>
      <c r="AF307" s="496"/>
      <c r="AG307" s="496"/>
      <c r="AH307" s="496"/>
      <c r="AI307" s="496"/>
      <c r="AJ307" s="496"/>
      <c r="AK307" s="496"/>
      <c r="AL307" s="496"/>
      <c r="AM307" s="496"/>
      <c r="AN307" s="496"/>
      <c r="AO307" s="496"/>
      <c r="AP307" s="496"/>
      <c r="AQ307" s="496"/>
      <c r="AR307" s="496"/>
      <c r="AS307" s="496"/>
      <c r="AT307" s="496"/>
      <c r="AU307" s="496"/>
      <c r="AV307" s="496"/>
      <c r="AW307" s="496"/>
      <c r="AX307" s="496"/>
      <c r="AY307" s="496"/>
      <c r="AZ307" s="496"/>
      <c r="BA307" s="496"/>
      <c r="BB307" s="496"/>
      <c r="BC307" s="496"/>
      <c r="BD307" s="496"/>
      <c r="BE307" s="496"/>
      <c r="BF307" s="496"/>
      <c r="BG307" s="496"/>
      <c r="BH307" s="496"/>
      <c r="BI307" s="496"/>
      <c r="BJ307" s="496"/>
      <c r="BK307" s="496"/>
      <c r="BL307" s="496"/>
      <c r="BM307" s="496"/>
      <c r="BN307" s="496"/>
      <c r="BO307" s="496"/>
      <c r="BP307" s="496"/>
      <c r="BQ307" s="496"/>
      <c r="BR307" s="496"/>
      <c r="BS307" s="496"/>
      <c r="BT307" s="496"/>
      <c r="BU307" s="496"/>
      <c r="BV307" s="496"/>
      <c r="BW307" s="496"/>
      <c r="BX307" s="496"/>
      <c r="BY307" s="496"/>
      <c r="BZ307" s="496"/>
      <c r="CA307" s="496"/>
    </row>
    <row r="308" spans="7:79">
      <c r="G308" s="496"/>
      <c r="H308" s="496"/>
      <c r="I308" s="496"/>
      <c r="J308" s="496"/>
      <c r="K308" s="496"/>
      <c r="L308" s="496"/>
      <c r="M308" s="496"/>
      <c r="N308" s="496"/>
      <c r="O308" s="496"/>
      <c r="P308" s="496"/>
      <c r="Q308" s="496"/>
      <c r="R308" s="496"/>
      <c r="S308" s="496"/>
      <c r="T308" s="496"/>
      <c r="U308" s="496"/>
      <c r="V308" s="496"/>
      <c r="W308" s="496"/>
      <c r="X308" s="496"/>
      <c r="Y308" s="496"/>
      <c r="Z308" s="496"/>
      <c r="AA308" s="496"/>
      <c r="AB308" s="496"/>
      <c r="AC308" s="496"/>
      <c r="AD308" s="496"/>
      <c r="AE308" s="496"/>
      <c r="AF308" s="496"/>
      <c r="AG308" s="496"/>
      <c r="AH308" s="496"/>
      <c r="AI308" s="496"/>
      <c r="AJ308" s="496"/>
      <c r="AK308" s="496"/>
      <c r="AL308" s="496"/>
      <c r="AM308" s="496"/>
      <c r="AN308" s="496"/>
      <c r="AO308" s="496"/>
      <c r="AP308" s="496"/>
      <c r="AQ308" s="496"/>
      <c r="AR308" s="496"/>
      <c r="AS308" s="496"/>
      <c r="AT308" s="496"/>
      <c r="AU308" s="496"/>
      <c r="AV308" s="496"/>
      <c r="AW308" s="496"/>
      <c r="AX308" s="496"/>
      <c r="AY308" s="496"/>
      <c r="AZ308" s="496"/>
      <c r="BA308" s="496"/>
      <c r="BB308" s="496"/>
      <c r="BC308" s="496"/>
      <c r="BD308" s="496"/>
      <c r="BE308" s="496"/>
      <c r="BF308" s="496"/>
      <c r="BG308" s="496"/>
      <c r="BH308" s="496"/>
      <c r="BI308" s="496"/>
      <c r="BJ308" s="496"/>
      <c r="BK308" s="496"/>
      <c r="BL308" s="496"/>
      <c r="BM308" s="496"/>
      <c r="BN308" s="496"/>
      <c r="BO308" s="496"/>
      <c r="BP308" s="496"/>
      <c r="BQ308" s="496"/>
      <c r="BR308" s="496"/>
      <c r="BS308" s="496"/>
      <c r="BT308" s="496"/>
      <c r="BU308" s="496"/>
      <c r="BV308" s="496"/>
      <c r="BW308" s="496"/>
      <c r="BX308" s="496"/>
      <c r="BY308" s="496"/>
      <c r="BZ308" s="496"/>
      <c r="CA308" s="496"/>
    </row>
    <row r="309" spans="7:79">
      <c r="G309" s="496"/>
      <c r="H309" s="496"/>
      <c r="I309" s="496"/>
      <c r="J309" s="496"/>
      <c r="K309" s="496"/>
      <c r="L309" s="496"/>
      <c r="M309" s="496"/>
      <c r="N309" s="496"/>
      <c r="O309" s="496"/>
      <c r="P309" s="496"/>
      <c r="Q309" s="496"/>
      <c r="R309" s="496"/>
      <c r="S309" s="496"/>
      <c r="T309" s="496"/>
      <c r="U309" s="496"/>
      <c r="V309" s="496"/>
      <c r="W309" s="496"/>
      <c r="X309" s="496"/>
      <c r="Y309" s="496"/>
      <c r="Z309" s="496"/>
      <c r="AA309" s="496"/>
      <c r="AB309" s="496"/>
      <c r="AC309" s="496"/>
      <c r="AD309" s="496"/>
      <c r="AE309" s="496"/>
      <c r="AF309" s="496"/>
      <c r="AG309" s="496"/>
      <c r="AH309" s="496"/>
      <c r="AI309" s="496"/>
      <c r="AJ309" s="496"/>
      <c r="AK309" s="496"/>
      <c r="AL309" s="496"/>
      <c r="AM309" s="496"/>
      <c r="AN309" s="496"/>
      <c r="AO309" s="496"/>
      <c r="AP309" s="496"/>
      <c r="AQ309" s="496"/>
      <c r="AR309" s="496"/>
      <c r="AS309" s="496"/>
      <c r="AT309" s="496"/>
      <c r="AU309" s="496"/>
      <c r="AV309" s="496"/>
      <c r="AW309" s="496"/>
      <c r="AX309" s="496"/>
      <c r="AY309" s="496"/>
      <c r="AZ309" s="496"/>
      <c r="BA309" s="496"/>
      <c r="BB309" s="496"/>
      <c r="BC309" s="496"/>
      <c r="BD309" s="496"/>
      <c r="BE309" s="496"/>
      <c r="BF309" s="496"/>
      <c r="BG309" s="496"/>
      <c r="BH309" s="496"/>
      <c r="BI309" s="496"/>
      <c r="BJ309" s="496"/>
      <c r="BK309" s="496"/>
      <c r="BL309" s="496"/>
      <c r="BM309" s="496"/>
      <c r="BN309" s="496"/>
      <c r="BO309" s="496"/>
      <c r="BP309" s="496"/>
      <c r="BQ309" s="496"/>
      <c r="BR309" s="496"/>
      <c r="BS309" s="496"/>
      <c r="BT309" s="496"/>
      <c r="BU309" s="496"/>
      <c r="BV309" s="496"/>
      <c r="BW309" s="496"/>
      <c r="BX309" s="496"/>
      <c r="BY309" s="496"/>
      <c r="BZ309" s="496"/>
      <c r="CA309" s="496"/>
    </row>
    <row r="310" spans="7:79">
      <c r="G310" s="496"/>
      <c r="H310" s="496"/>
      <c r="I310" s="496"/>
      <c r="J310" s="496"/>
      <c r="K310" s="496"/>
      <c r="L310" s="496"/>
      <c r="M310" s="496"/>
      <c r="N310" s="496"/>
      <c r="O310" s="496"/>
      <c r="P310" s="496"/>
      <c r="Q310" s="496"/>
      <c r="R310" s="496"/>
      <c r="S310" s="496"/>
      <c r="T310" s="496"/>
      <c r="U310" s="496"/>
      <c r="V310" s="496"/>
      <c r="W310" s="496"/>
      <c r="X310" s="496"/>
      <c r="Y310" s="496"/>
      <c r="Z310" s="496"/>
      <c r="AA310" s="496"/>
      <c r="AB310" s="496"/>
      <c r="AC310" s="496"/>
      <c r="AD310" s="496"/>
      <c r="AE310" s="496"/>
      <c r="AF310" s="496"/>
      <c r="AG310" s="496"/>
      <c r="AH310" s="496"/>
      <c r="AI310" s="496"/>
      <c r="AJ310" s="496"/>
      <c r="AK310" s="496"/>
      <c r="AL310" s="496"/>
      <c r="AM310" s="496"/>
      <c r="AN310" s="496"/>
      <c r="AO310" s="496"/>
      <c r="AP310" s="496"/>
      <c r="AQ310" s="496"/>
      <c r="AR310" s="496"/>
      <c r="AS310" s="496"/>
      <c r="AT310" s="496"/>
      <c r="AU310" s="496"/>
      <c r="AV310" s="496"/>
      <c r="AW310" s="496"/>
      <c r="AX310" s="496"/>
      <c r="AY310" s="496"/>
      <c r="AZ310" s="496"/>
      <c r="BA310" s="496"/>
      <c r="BB310" s="496"/>
      <c r="BC310" s="496"/>
      <c r="BD310" s="496"/>
      <c r="BE310" s="496"/>
      <c r="BF310" s="496"/>
      <c r="BG310" s="496"/>
      <c r="BH310" s="496"/>
      <c r="BI310" s="496"/>
      <c r="BJ310" s="496"/>
      <c r="BK310" s="496"/>
      <c r="BL310" s="496"/>
      <c r="BM310" s="496"/>
      <c r="BN310" s="496"/>
      <c r="BO310" s="496"/>
      <c r="BP310" s="496"/>
      <c r="BQ310" s="496"/>
      <c r="BR310" s="496"/>
      <c r="BS310" s="496"/>
      <c r="BT310" s="496"/>
      <c r="BU310" s="496"/>
      <c r="BV310" s="496"/>
      <c r="BW310" s="496"/>
      <c r="BX310" s="496"/>
      <c r="BY310" s="496"/>
      <c r="BZ310" s="496"/>
      <c r="CA310" s="496"/>
    </row>
    <row r="311" spans="7:79">
      <c r="G311" s="496"/>
      <c r="H311" s="496"/>
      <c r="I311" s="496"/>
      <c r="J311" s="496"/>
      <c r="K311" s="496"/>
      <c r="L311" s="496"/>
      <c r="M311" s="496"/>
      <c r="N311" s="496"/>
      <c r="O311" s="496"/>
      <c r="P311" s="496"/>
      <c r="Q311" s="496"/>
      <c r="R311" s="496"/>
      <c r="S311" s="496"/>
      <c r="T311" s="496"/>
      <c r="U311" s="496"/>
      <c r="V311" s="496"/>
      <c r="W311" s="496"/>
      <c r="X311" s="496"/>
      <c r="Y311" s="496"/>
      <c r="Z311" s="496"/>
      <c r="AA311" s="496"/>
      <c r="AB311" s="496"/>
      <c r="AC311" s="496"/>
      <c r="AD311" s="496"/>
      <c r="AE311" s="496"/>
      <c r="AF311" s="496"/>
      <c r="AG311" s="496"/>
      <c r="AH311" s="496"/>
      <c r="AI311" s="496"/>
      <c r="AJ311" s="496"/>
      <c r="AK311" s="496"/>
      <c r="AL311" s="496"/>
      <c r="AM311" s="496"/>
      <c r="AN311" s="496"/>
      <c r="AO311" s="496"/>
      <c r="AP311" s="496"/>
      <c r="AQ311" s="496"/>
      <c r="AR311" s="496"/>
      <c r="AS311" s="496"/>
      <c r="AT311" s="496"/>
      <c r="AU311" s="496"/>
      <c r="AV311" s="496"/>
      <c r="AW311" s="496"/>
      <c r="AX311" s="496"/>
      <c r="AY311" s="496"/>
      <c r="AZ311" s="496"/>
      <c r="BA311" s="496"/>
      <c r="BB311" s="496"/>
      <c r="BC311" s="496"/>
      <c r="BD311" s="496"/>
      <c r="BE311" s="496"/>
      <c r="BF311" s="496"/>
      <c r="BG311" s="496"/>
      <c r="BH311" s="496"/>
      <c r="BI311" s="496"/>
      <c r="BJ311" s="496"/>
      <c r="BK311" s="496"/>
      <c r="BL311" s="496"/>
      <c r="BM311" s="496"/>
      <c r="BN311" s="496"/>
      <c r="BO311" s="496"/>
      <c r="BP311" s="496"/>
      <c r="BQ311" s="496"/>
      <c r="BR311" s="496"/>
      <c r="BS311" s="496"/>
      <c r="BT311" s="496"/>
      <c r="BU311" s="496"/>
      <c r="BV311" s="496"/>
      <c r="BW311" s="496"/>
      <c r="BX311" s="496"/>
      <c r="BY311" s="496"/>
      <c r="BZ311" s="496"/>
      <c r="CA311" s="496"/>
    </row>
    <row r="312" spans="7:79">
      <c r="G312" s="496"/>
      <c r="H312" s="496"/>
      <c r="I312" s="496"/>
      <c r="J312" s="496"/>
      <c r="K312" s="496"/>
      <c r="L312" s="496"/>
      <c r="M312" s="496"/>
      <c r="N312" s="496"/>
      <c r="O312" s="496"/>
      <c r="P312" s="496"/>
      <c r="Q312" s="496"/>
      <c r="R312" s="496"/>
      <c r="S312" s="496"/>
      <c r="T312" s="496"/>
      <c r="U312" s="496"/>
      <c r="V312" s="496"/>
      <c r="W312" s="496"/>
      <c r="X312" s="496"/>
      <c r="Y312" s="496"/>
      <c r="Z312" s="496"/>
      <c r="AA312" s="496"/>
      <c r="AB312" s="496"/>
      <c r="AC312" s="496"/>
      <c r="AD312" s="496"/>
      <c r="AE312" s="496"/>
      <c r="AF312" s="496"/>
      <c r="AG312" s="496"/>
      <c r="AH312" s="496"/>
      <c r="AI312" s="496"/>
      <c r="AJ312" s="496"/>
      <c r="AK312" s="496"/>
      <c r="AL312" s="496"/>
      <c r="AM312" s="496"/>
      <c r="AN312" s="496"/>
      <c r="AO312" s="496"/>
      <c r="AP312" s="496"/>
      <c r="AQ312" s="496"/>
      <c r="AR312" s="496"/>
      <c r="AS312" s="496"/>
      <c r="AT312" s="496"/>
      <c r="AU312" s="496"/>
      <c r="AV312" s="496"/>
      <c r="AW312" s="496"/>
      <c r="AX312" s="496"/>
      <c r="AY312" s="496"/>
      <c r="AZ312" s="496"/>
      <c r="BA312" s="496"/>
      <c r="BB312" s="496"/>
      <c r="BC312" s="496"/>
      <c r="BD312" s="496"/>
      <c r="BE312" s="496"/>
      <c r="BF312" s="496"/>
      <c r="BG312" s="496"/>
      <c r="BH312" s="496"/>
      <c r="BI312" s="496"/>
      <c r="BJ312" s="496"/>
      <c r="BK312" s="496"/>
      <c r="BL312" s="496"/>
      <c r="BM312" s="496"/>
      <c r="BN312" s="496"/>
      <c r="BO312" s="496"/>
      <c r="BP312" s="496"/>
      <c r="BQ312" s="496"/>
      <c r="BR312" s="496"/>
      <c r="BS312" s="496"/>
      <c r="BT312" s="496"/>
      <c r="BU312" s="496"/>
      <c r="BV312" s="496"/>
      <c r="BW312" s="496"/>
      <c r="BX312" s="496"/>
      <c r="BY312" s="496"/>
      <c r="BZ312" s="496"/>
      <c r="CA312" s="496"/>
    </row>
    <row r="313" spans="7:79">
      <c r="G313" s="496"/>
      <c r="H313" s="496"/>
      <c r="I313" s="496"/>
      <c r="J313" s="496"/>
      <c r="K313" s="496"/>
      <c r="L313" s="496"/>
      <c r="M313" s="496"/>
      <c r="N313" s="496"/>
      <c r="O313" s="496"/>
      <c r="P313" s="496"/>
      <c r="Q313" s="496"/>
      <c r="R313" s="496"/>
      <c r="S313" s="496"/>
      <c r="T313" s="496"/>
      <c r="U313" s="496"/>
      <c r="V313" s="496"/>
      <c r="W313" s="496"/>
      <c r="X313" s="496"/>
      <c r="Y313" s="496"/>
      <c r="Z313" s="496"/>
      <c r="AA313" s="496"/>
      <c r="AB313" s="496"/>
      <c r="AC313" s="496"/>
      <c r="AD313" s="496"/>
      <c r="AE313" s="496"/>
      <c r="AF313" s="496"/>
      <c r="AG313" s="496"/>
      <c r="AH313" s="496"/>
      <c r="AI313" s="496"/>
      <c r="AJ313" s="496"/>
      <c r="AK313" s="496"/>
      <c r="AL313" s="496"/>
      <c r="AM313" s="496"/>
      <c r="AN313" s="496"/>
      <c r="AO313" s="496"/>
      <c r="AP313" s="496"/>
      <c r="AQ313" s="496"/>
      <c r="AR313" s="496"/>
      <c r="AS313" s="496"/>
      <c r="AT313" s="496"/>
      <c r="AU313" s="496"/>
      <c r="AV313" s="496"/>
      <c r="AW313" s="496"/>
      <c r="AX313" s="496"/>
      <c r="AY313" s="496"/>
      <c r="AZ313" s="496"/>
      <c r="BA313" s="496"/>
      <c r="BB313" s="496"/>
      <c r="BC313" s="496"/>
      <c r="BD313" s="496"/>
      <c r="BE313" s="496"/>
      <c r="BF313" s="496"/>
      <c r="BG313" s="496"/>
      <c r="BH313" s="496"/>
      <c r="BI313" s="496"/>
      <c r="BJ313" s="496"/>
      <c r="BK313" s="496"/>
      <c r="BL313" s="496"/>
      <c r="BM313" s="496"/>
      <c r="BN313" s="496"/>
      <c r="BO313" s="496"/>
      <c r="BP313" s="496"/>
      <c r="BQ313" s="496"/>
      <c r="BR313" s="496"/>
      <c r="BS313" s="496"/>
      <c r="BT313" s="496"/>
      <c r="BU313" s="496"/>
      <c r="BV313" s="496"/>
      <c r="BW313" s="496"/>
      <c r="BX313" s="496"/>
      <c r="BY313" s="496"/>
      <c r="BZ313" s="496"/>
      <c r="CA313" s="496"/>
    </row>
    <row r="314" spans="7:79">
      <c r="G314" s="496"/>
      <c r="H314" s="496"/>
      <c r="I314" s="496"/>
      <c r="J314" s="496"/>
      <c r="K314" s="496"/>
      <c r="L314" s="496"/>
      <c r="M314" s="496"/>
      <c r="N314" s="496"/>
      <c r="O314" s="496"/>
      <c r="P314" s="496"/>
      <c r="Q314" s="496"/>
      <c r="R314" s="496"/>
      <c r="S314" s="496"/>
      <c r="T314" s="496"/>
      <c r="U314" s="496"/>
      <c r="V314" s="496"/>
      <c r="W314" s="496"/>
      <c r="X314" s="496"/>
      <c r="Y314" s="496"/>
      <c r="Z314" s="496"/>
      <c r="AA314" s="496"/>
      <c r="AB314" s="496"/>
      <c r="AC314" s="496"/>
      <c r="AD314" s="496"/>
      <c r="AE314" s="496"/>
      <c r="AF314" s="496"/>
      <c r="AG314" s="496"/>
      <c r="AH314" s="496"/>
      <c r="AI314" s="496"/>
      <c r="AJ314" s="496"/>
      <c r="AK314" s="496"/>
      <c r="AL314" s="496"/>
      <c r="AM314" s="496"/>
      <c r="AN314" s="496"/>
      <c r="AO314" s="496"/>
      <c r="AP314" s="496"/>
      <c r="AQ314" s="496"/>
      <c r="AR314" s="496"/>
      <c r="AS314" s="496"/>
      <c r="AT314" s="496"/>
      <c r="AU314" s="496"/>
      <c r="AV314" s="496"/>
      <c r="AW314" s="496"/>
      <c r="AX314" s="496"/>
      <c r="AY314" s="496"/>
      <c r="AZ314" s="496"/>
      <c r="BA314" s="496"/>
      <c r="BB314" s="496"/>
      <c r="BC314" s="496"/>
      <c r="BD314" s="496"/>
      <c r="BE314" s="496"/>
      <c r="BF314" s="496"/>
      <c r="BG314" s="496"/>
      <c r="BH314" s="496"/>
      <c r="BI314" s="496"/>
      <c r="BJ314" s="496"/>
      <c r="BK314" s="496"/>
      <c r="BL314" s="496"/>
      <c r="BM314" s="496"/>
      <c r="BN314" s="496"/>
      <c r="BO314" s="496"/>
      <c r="BP314" s="496"/>
      <c r="BQ314" s="496"/>
      <c r="BR314" s="496"/>
      <c r="BS314" s="496"/>
      <c r="BT314" s="496"/>
      <c r="BU314" s="496"/>
      <c r="BV314" s="496"/>
      <c r="BW314" s="496"/>
      <c r="BX314" s="496"/>
      <c r="BY314" s="496"/>
      <c r="BZ314" s="496"/>
      <c r="CA314" s="496"/>
    </row>
    <row r="315" spans="7:79">
      <c r="G315" s="496"/>
      <c r="H315" s="496"/>
      <c r="I315" s="496"/>
      <c r="J315" s="496"/>
      <c r="K315" s="496"/>
      <c r="L315" s="496"/>
      <c r="M315" s="496"/>
      <c r="N315" s="496"/>
      <c r="O315" s="496"/>
      <c r="P315" s="496"/>
      <c r="Q315" s="496"/>
      <c r="R315" s="496"/>
      <c r="S315" s="496"/>
      <c r="T315" s="496"/>
      <c r="U315" s="496"/>
      <c r="V315" s="496"/>
      <c r="W315" s="496"/>
      <c r="X315" s="496"/>
      <c r="Y315" s="496"/>
      <c r="Z315" s="496"/>
      <c r="AA315" s="496"/>
      <c r="AB315" s="496"/>
      <c r="AC315" s="496"/>
      <c r="AD315" s="496"/>
      <c r="AE315" s="496"/>
      <c r="AF315" s="496"/>
      <c r="AG315" s="496"/>
      <c r="AH315" s="496"/>
      <c r="AI315" s="496"/>
      <c r="AJ315" s="496"/>
      <c r="AK315" s="496"/>
      <c r="AL315" s="496"/>
      <c r="AM315" s="496"/>
      <c r="AN315" s="496"/>
      <c r="AO315" s="496"/>
      <c r="AP315" s="496"/>
      <c r="AQ315" s="496"/>
      <c r="AR315" s="496"/>
      <c r="AS315" s="496"/>
      <c r="AT315" s="496"/>
      <c r="AU315" s="496"/>
      <c r="AV315" s="496"/>
      <c r="AW315" s="496"/>
      <c r="AX315" s="496"/>
      <c r="AY315" s="496"/>
      <c r="AZ315" s="496"/>
      <c r="BA315" s="496"/>
      <c r="BB315" s="496"/>
      <c r="BC315" s="496"/>
      <c r="BD315" s="496"/>
      <c r="BE315" s="496"/>
      <c r="BF315" s="496"/>
      <c r="BG315" s="496"/>
      <c r="BH315" s="496"/>
      <c r="BI315" s="496"/>
      <c r="BJ315" s="496"/>
      <c r="BK315" s="496"/>
      <c r="BL315" s="496"/>
      <c r="BM315" s="496"/>
      <c r="BN315" s="496"/>
      <c r="BO315" s="496"/>
      <c r="BP315" s="496"/>
      <c r="BQ315" s="496"/>
      <c r="BR315" s="496"/>
      <c r="BS315" s="496"/>
      <c r="BT315" s="496"/>
      <c r="BU315" s="496"/>
      <c r="BV315" s="496"/>
      <c r="BW315" s="496"/>
      <c r="BX315" s="496"/>
      <c r="BY315" s="496"/>
      <c r="BZ315" s="496"/>
      <c r="CA315" s="496"/>
    </row>
    <row r="316" spans="7:79">
      <c r="G316" s="496"/>
      <c r="H316" s="496"/>
      <c r="I316" s="496"/>
      <c r="J316" s="496"/>
      <c r="K316" s="496"/>
      <c r="L316" s="496"/>
      <c r="M316" s="496"/>
      <c r="N316" s="496"/>
      <c r="O316" s="496"/>
      <c r="P316" s="496"/>
      <c r="Q316" s="496"/>
      <c r="R316" s="496"/>
      <c r="S316" s="496"/>
      <c r="T316" s="496"/>
      <c r="U316" s="496"/>
      <c r="V316" s="496"/>
      <c r="W316" s="496"/>
      <c r="X316" s="496"/>
      <c r="Y316" s="496"/>
      <c r="Z316" s="496"/>
      <c r="AA316" s="496"/>
      <c r="AB316" s="496"/>
      <c r="AC316" s="496"/>
      <c r="AD316" s="496"/>
      <c r="AE316" s="496"/>
      <c r="AF316" s="496"/>
      <c r="AG316" s="496"/>
      <c r="AH316" s="496"/>
      <c r="AI316" s="496"/>
      <c r="AJ316" s="496"/>
      <c r="AK316" s="496"/>
      <c r="AL316" s="496"/>
      <c r="AM316" s="496"/>
      <c r="AN316" s="496"/>
      <c r="AO316" s="496"/>
      <c r="AP316" s="496"/>
      <c r="AQ316" s="496"/>
      <c r="AR316" s="496"/>
      <c r="AS316" s="496"/>
      <c r="AT316" s="496"/>
      <c r="AU316" s="496"/>
      <c r="AV316" s="496"/>
      <c r="AW316" s="496"/>
      <c r="AX316" s="496"/>
      <c r="AY316" s="496"/>
      <c r="AZ316" s="496"/>
      <c r="BA316" s="496"/>
      <c r="BB316" s="496"/>
      <c r="BC316" s="496"/>
      <c r="BD316" s="496"/>
      <c r="BE316" s="496"/>
      <c r="BF316" s="496"/>
      <c r="BG316" s="496"/>
      <c r="BH316" s="496"/>
      <c r="BI316" s="496"/>
      <c r="BJ316" s="496"/>
      <c r="BK316" s="496"/>
      <c r="BL316" s="496"/>
      <c r="BM316" s="496"/>
      <c r="BN316" s="496"/>
      <c r="BO316" s="496"/>
      <c r="BP316" s="496"/>
      <c r="BQ316" s="496"/>
      <c r="BR316" s="496"/>
      <c r="BS316" s="496"/>
      <c r="BT316" s="496"/>
      <c r="BU316" s="496"/>
      <c r="BV316" s="496"/>
      <c r="BW316" s="496"/>
      <c r="BX316" s="496"/>
      <c r="BY316" s="496"/>
      <c r="BZ316" s="496"/>
      <c r="CA316" s="496"/>
    </row>
    <row r="317" spans="7:79">
      <c r="G317" s="496"/>
      <c r="H317" s="496"/>
      <c r="I317" s="496"/>
      <c r="J317" s="496"/>
      <c r="K317" s="496"/>
      <c r="L317" s="496"/>
      <c r="M317" s="496"/>
      <c r="N317" s="496"/>
      <c r="O317" s="496"/>
      <c r="P317" s="496"/>
      <c r="Q317" s="496"/>
      <c r="R317" s="496"/>
      <c r="S317" s="496"/>
      <c r="T317" s="496"/>
      <c r="U317" s="496"/>
      <c r="V317" s="496"/>
      <c r="W317" s="496"/>
      <c r="X317" s="496"/>
      <c r="Y317" s="496"/>
      <c r="Z317" s="496"/>
      <c r="AA317" s="496"/>
      <c r="AB317" s="496"/>
      <c r="AC317" s="496"/>
      <c r="AD317" s="496"/>
      <c r="AE317" s="496"/>
      <c r="AF317" s="496"/>
      <c r="AG317" s="496"/>
      <c r="AH317" s="496"/>
      <c r="AI317" s="496"/>
      <c r="AJ317" s="496"/>
      <c r="AK317" s="496"/>
      <c r="AL317" s="496"/>
      <c r="AM317" s="496"/>
      <c r="AN317" s="496"/>
      <c r="AO317" s="496"/>
      <c r="AP317" s="496"/>
      <c r="AQ317" s="496"/>
      <c r="AR317" s="496"/>
      <c r="AS317" s="496"/>
      <c r="AT317" s="496"/>
      <c r="AU317" s="496"/>
      <c r="AV317" s="496"/>
      <c r="AW317" s="496"/>
      <c r="AX317" s="496"/>
      <c r="AY317" s="496"/>
      <c r="AZ317" s="496"/>
      <c r="BA317" s="496"/>
      <c r="BB317" s="496"/>
      <c r="BC317" s="496"/>
      <c r="BD317" s="496"/>
      <c r="BE317" s="496"/>
      <c r="BF317" s="496"/>
      <c r="BG317" s="496"/>
      <c r="BH317" s="496"/>
      <c r="BI317" s="496"/>
      <c r="BJ317" s="496"/>
      <c r="BK317" s="496"/>
      <c r="BL317" s="496"/>
      <c r="BM317" s="496"/>
      <c r="BN317" s="496"/>
      <c r="BO317" s="496"/>
      <c r="BP317" s="496"/>
      <c r="BQ317" s="496"/>
      <c r="BR317" s="496"/>
      <c r="BS317" s="496"/>
      <c r="BT317" s="496"/>
      <c r="BU317" s="496"/>
      <c r="BV317" s="496"/>
      <c r="BW317" s="496"/>
      <c r="BX317" s="496"/>
      <c r="BY317" s="496"/>
      <c r="BZ317" s="496"/>
      <c r="CA317" s="496"/>
    </row>
    <row r="318" spans="7:79">
      <c r="G318" s="496"/>
      <c r="H318" s="496"/>
      <c r="I318" s="496"/>
      <c r="J318" s="496"/>
      <c r="K318" s="496"/>
      <c r="L318" s="496"/>
      <c r="M318" s="496"/>
      <c r="N318" s="496"/>
      <c r="O318" s="496"/>
      <c r="P318" s="496"/>
      <c r="Q318" s="496"/>
      <c r="R318" s="496"/>
      <c r="S318" s="496"/>
      <c r="T318" s="496"/>
      <c r="U318" s="496"/>
      <c r="V318" s="496"/>
      <c r="W318" s="496"/>
      <c r="X318" s="496"/>
      <c r="Y318" s="496"/>
      <c r="Z318" s="496"/>
      <c r="AA318" s="496"/>
      <c r="AB318" s="496"/>
      <c r="AC318" s="496"/>
      <c r="AD318" s="496"/>
      <c r="AE318" s="496"/>
      <c r="AF318" s="496"/>
      <c r="AG318" s="496"/>
      <c r="AH318" s="496"/>
      <c r="AI318" s="496"/>
      <c r="AJ318" s="496"/>
      <c r="AK318" s="496"/>
      <c r="AL318" s="496"/>
      <c r="AM318" s="496"/>
      <c r="AN318" s="496"/>
      <c r="AO318" s="496"/>
      <c r="AP318" s="496"/>
      <c r="AQ318" s="496"/>
      <c r="AR318" s="496"/>
      <c r="AS318" s="496"/>
      <c r="AT318" s="496"/>
      <c r="AU318" s="496"/>
      <c r="AV318" s="496"/>
      <c r="AW318" s="496"/>
      <c r="AX318" s="496"/>
      <c r="AY318" s="496"/>
      <c r="AZ318" s="496"/>
      <c r="BA318" s="496"/>
      <c r="BB318" s="496"/>
      <c r="BC318" s="496"/>
      <c r="BD318" s="496"/>
      <c r="BE318" s="496"/>
      <c r="BF318" s="496"/>
      <c r="BG318" s="496"/>
      <c r="BH318" s="496"/>
      <c r="BI318" s="496"/>
      <c r="BJ318" s="496"/>
      <c r="BK318" s="496"/>
      <c r="BL318" s="496"/>
      <c r="BM318" s="496"/>
      <c r="BN318" s="496"/>
      <c r="BO318" s="496"/>
      <c r="BP318" s="496"/>
      <c r="BQ318" s="496"/>
      <c r="BR318" s="496"/>
      <c r="BS318" s="496"/>
      <c r="BT318" s="496"/>
      <c r="BU318" s="496"/>
      <c r="BV318" s="496"/>
      <c r="BW318" s="496"/>
      <c r="BX318" s="496"/>
      <c r="BY318" s="496"/>
      <c r="BZ318" s="496"/>
      <c r="CA318" s="496"/>
    </row>
    <row r="319" spans="7:79">
      <c r="G319" s="496"/>
      <c r="H319" s="496"/>
      <c r="I319" s="496"/>
      <c r="J319" s="496"/>
      <c r="K319" s="496"/>
      <c r="L319" s="496"/>
      <c r="M319" s="496"/>
      <c r="N319" s="496"/>
      <c r="O319" s="496"/>
      <c r="P319" s="496"/>
      <c r="Q319" s="496"/>
      <c r="R319" s="496"/>
      <c r="S319" s="496"/>
      <c r="T319" s="496"/>
      <c r="U319" s="496"/>
      <c r="V319" s="496"/>
      <c r="W319" s="496"/>
      <c r="X319" s="496"/>
      <c r="Y319" s="496"/>
      <c r="Z319" s="496"/>
      <c r="AA319" s="496"/>
      <c r="AB319" s="496"/>
      <c r="AC319" s="496"/>
      <c r="AD319" s="496"/>
      <c r="AE319" s="496"/>
      <c r="AF319" s="496"/>
      <c r="AG319" s="496"/>
      <c r="AH319" s="496"/>
      <c r="AI319" s="496"/>
      <c r="AJ319" s="496"/>
      <c r="AK319" s="496"/>
      <c r="AL319" s="496"/>
      <c r="AM319" s="496"/>
      <c r="AN319" s="496"/>
      <c r="AO319" s="496"/>
      <c r="AP319" s="496"/>
      <c r="AQ319" s="496"/>
      <c r="AR319" s="496"/>
      <c r="AS319" s="496"/>
      <c r="AT319" s="496"/>
      <c r="AU319" s="496"/>
      <c r="AV319" s="496"/>
      <c r="AW319" s="496"/>
      <c r="AX319" s="496"/>
      <c r="AY319" s="496"/>
      <c r="AZ319" s="496"/>
      <c r="BA319" s="496"/>
      <c r="BB319" s="496"/>
      <c r="BC319" s="496"/>
      <c r="BD319" s="496"/>
      <c r="BE319" s="496"/>
      <c r="BF319" s="496"/>
      <c r="BG319" s="496"/>
      <c r="BH319" s="496"/>
      <c r="BI319" s="496"/>
      <c r="BJ319" s="496"/>
      <c r="BK319" s="496"/>
      <c r="BL319" s="496"/>
      <c r="BM319" s="496"/>
      <c r="BN319" s="496"/>
      <c r="BO319" s="496"/>
      <c r="BP319" s="496"/>
      <c r="BQ319" s="496"/>
      <c r="BR319" s="496"/>
      <c r="BS319" s="496"/>
      <c r="BT319" s="496"/>
      <c r="BU319" s="496"/>
      <c r="BV319" s="496"/>
      <c r="BW319" s="496"/>
      <c r="BX319" s="496"/>
      <c r="BY319" s="496"/>
      <c r="BZ319" s="496"/>
      <c r="CA319" s="496"/>
    </row>
    <row r="320" spans="7:79">
      <c r="G320" s="496"/>
      <c r="H320" s="496"/>
      <c r="I320" s="496"/>
      <c r="J320" s="496"/>
      <c r="K320" s="496"/>
      <c r="L320" s="496"/>
      <c r="M320" s="496"/>
      <c r="N320" s="496"/>
      <c r="O320" s="496"/>
      <c r="P320" s="496"/>
      <c r="Q320" s="496"/>
      <c r="R320" s="496"/>
      <c r="S320" s="496"/>
      <c r="T320" s="496"/>
      <c r="U320" s="496"/>
      <c r="V320" s="496"/>
      <c r="W320" s="496"/>
      <c r="X320" s="496"/>
      <c r="Y320" s="496"/>
      <c r="Z320" s="496"/>
      <c r="AA320" s="496"/>
      <c r="AB320" s="496"/>
      <c r="AC320" s="496"/>
      <c r="AD320" s="496"/>
      <c r="AE320" s="496"/>
      <c r="AF320" s="496"/>
      <c r="AG320" s="496"/>
      <c r="AH320" s="496"/>
      <c r="AI320" s="496"/>
      <c r="AJ320" s="496"/>
      <c r="AK320" s="496"/>
      <c r="AL320" s="496"/>
      <c r="AM320" s="496"/>
      <c r="AN320" s="496"/>
      <c r="AO320" s="496"/>
      <c r="AP320" s="496"/>
      <c r="AQ320" s="496"/>
      <c r="AR320" s="496"/>
      <c r="AS320" s="496"/>
      <c r="AT320" s="496"/>
      <c r="AU320" s="496"/>
      <c r="AV320" s="496"/>
      <c r="AW320" s="496"/>
      <c r="AX320" s="496"/>
      <c r="AY320" s="496"/>
      <c r="AZ320" s="496"/>
      <c r="BA320" s="496"/>
      <c r="BB320" s="496"/>
      <c r="BC320" s="496"/>
      <c r="BD320" s="496"/>
      <c r="BE320" s="496"/>
      <c r="BF320" s="496"/>
      <c r="BG320" s="496"/>
      <c r="BH320" s="496"/>
      <c r="BI320" s="496"/>
      <c r="BJ320" s="496"/>
      <c r="BK320" s="496"/>
      <c r="BL320" s="496"/>
      <c r="BM320" s="496"/>
      <c r="BN320" s="496"/>
      <c r="BO320" s="496"/>
      <c r="BP320" s="496"/>
      <c r="BQ320" s="496"/>
      <c r="BR320" s="496"/>
      <c r="BS320" s="496"/>
      <c r="BT320" s="496"/>
      <c r="BU320" s="496"/>
      <c r="BV320" s="496"/>
      <c r="BW320" s="496"/>
      <c r="BX320" s="496"/>
      <c r="BY320" s="496"/>
      <c r="BZ320" s="496"/>
      <c r="CA320" s="496"/>
    </row>
    <row r="321" spans="7:79">
      <c r="G321" s="496"/>
      <c r="H321" s="496"/>
      <c r="I321" s="496"/>
      <c r="J321" s="496"/>
      <c r="K321" s="496"/>
      <c r="L321" s="496"/>
      <c r="M321" s="496"/>
      <c r="N321" s="496"/>
      <c r="O321" s="496"/>
      <c r="P321" s="496"/>
      <c r="Q321" s="496"/>
      <c r="R321" s="496"/>
      <c r="S321" s="496"/>
      <c r="T321" s="496"/>
      <c r="U321" s="496"/>
      <c r="V321" s="496"/>
      <c r="W321" s="496"/>
      <c r="X321" s="496"/>
      <c r="Y321" s="496"/>
      <c r="Z321" s="496"/>
      <c r="AA321" s="496"/>
      <c r="AB321" s="496"/>
      <c r="AC321" s="496"/>
      <c r="AD321" s="496"/>
      <c r="AE321" s="496"/>
      <c r="AF321" s="496"/>
      <c r="AG321" s="496"/>
      <c r="AH321" s="496"/>
      <c r="AI321" s="496"/>
      <c r="AJ321" s="496"/>
      <c r="AK321" s="496"/>
      <c r="AL321" s="496"/>
      <c r="AM321" s="496"/>
      <c r="AN321" s="496"/>
      <c r="AO321" s="496"/>
      <c r="AP321" s="496"/>
      <c r="AQ321" s="496"/>
      <c r="AR321" s="496"/>
      <c r="AS321" s="496"/>
      <c r="AT321" s="496"/>
      <c r="AU321" s="496"/>
      <c r="AV321" s="496"/>
      <c r="AW321" s="496"/>
      <c r="AX321" s="496"/>
      <c r="AY321" s="496"/>
      <c r="AZ321" s="496"/>
      <c r="BA321" s="496"/>
      <c r="BB321" s="496"/>
      <c r="BC321" s="496"/>
      <c r="BD321" s="496"/>
      <c r="BE321" s="496"/>
      <c r="BF321" s="496"/>
      <c r="BG321" s="496"/>
      <c r="BH321" s="496"/>
      <c r="BI321" s="496"/>
      <c r="BJ321" s="496"/>
      <c r="BK321" s="496"/>
      <c r="BL321" s="496"/>
      <c r="BM321" s="496"/>
      <c r="BN321" s="496"/>
      <c r="BO321" s="496"/>
      <c r="BP321" s="496"/>
      <c r="BQ321" s="496"/>
      <c r="BR321" s="496"/>
      <c r="BS321" s="496"/>
      <c r="BT321" s="496"/>
      <c r="BU321" s="496"/>
      <c r="BV321" s="496"/>
      <c r="BW321" s="496"/>
      <c r="BX321" s="496"/>
      <c r="BY321" s="496"/>
      <c r="BZ321" s="496"/>
      <c r="CA321" s="496"/>
    </row>
    <row r="322" spans="7:79">
      <c r="G322" s="496"/>
      <c r="H322" s="496"/>
      <c r="I322" s="496"/>
      <c r="J322" s="496"/>
      <c r="K322" s="496"/>
      <c r="L322" s="496"/>
      <c r="M322" s="496"/>
      <c r="N322" s="496"/>
      <c r="O322" s="496"/>
      <c r="P322" s="496"/>
      <c r="Q322" s="496"/>
      <c r="R322" s="496"/>
      <c r="S322" s="496"/>
      <c r="T322" s="496"/>
      <c r="U322" s="496"/>
      <c r="V322" s="496"/>
      <c r="W322" s="496"/>
      <c r="X322" s="496"/>
      <c r="Y322" s="496"/>
      <c r="Z322" s="496"/>
      <c r="AA322" s="496"/>
      <c r="AB322" s="496"/>
      <c r="AC322" s="496"/>
      <c r="AD322" s="496"/>
      <c r="AE322" s="496"/>
      <c r="AF322" s="496"/>
      <c r="AG322" s="496"/>
      <c r="AH322" s="496"/>
      <c r="AI322" s="496"/>
      <c r="AJ322" s="496"/>
      <c r="AK322" s="496"/>
      <c r="AL322" s="496"/>
      <c r="AM322" s="496"/>
      <c r="AN322" s="496"/>
      <c r="AO322" s="496"/>
      <c r="AP322" s="496"/>
      <c r="AQ322" s="496"/>
      <c r="AR322" s="496"/>
      <c r="AS322" s="496"/>
      <c r="AT322" s="496"/>
      <c r="AU322" s="496"/>
      <c r="AV322" s="496"/>
      <c r="AW322" s="496"/>
      <c r="AX322" s="496"/>
      <c r="AY322" s="496"/>
      <c r="AZ322" s="496"/>
      <c r="BA322" s="496"/>
      <c r="BB322" s="496"/>
      <c r="BC322" s="496"/>
      <c r="BD322" s="496"/>
      <c r="BE322" s="496"/>
      <c r="BF322" s="496"/>
      <c r="BG322" s="496"/>
      <c r="BH322" s="496"/>
      <c r="BI322" s="496"/>
      <c r="BJ322" s="496"/>
      <c r="BK322" s="496"/>
      <c r="BL322" s="496"/>
      <c r="BM322" s="496"/>
      <c r="BN322" s="496"/>
      <c r="BO322" s="496"/>
      <c r="BP322" s="496"/>
      <c r="BQ322" s="496"/>
      <c r="BR322" s="496"/>
      <c r="BS322" s="496"/>
      <c r="BT322" s="496"/>
      <c r="BU322" s="496"/>
      <c r="BV322" s="496"/>
      <c r="BW322" s="496"/>
      <c r="BX322" s="496"/>
      <c r="BY322" s="496"/>
      <c r="BZ322" s="496"/>
      <c r="CA322" s="496"/>
    </row>
    <row r="323" spans="7:79">
      <c r="G323" s="496"/>
      <c r="H323" s="496"/>
      <c r="I323" s="496"/>
      <c r="J323" s="496"/>
      <c r="K323" s="496"/>
      <c r="L323" s="496"/>
      <c r="M323" s="496"/>
      <c r="N323" s="496"/>
      <c r="O323" s="496"/>
      <c r="P323" s="496"/>
      <c r="Q323" s="496"/>
      <c r="R323" s="496"/>
      <c r="S323" s="496"/>
      <c r="T323" s="496"/>
      <c r="U323" s="496"/>
      <c r="V323" s="496"/>
      <c r="W323" s="496"/>
      <c r="X323" s="496"/>
      <c r="Y323" s="496"/>
      <c r="Z323" s="496"/>
      <c r="AA323" s="496"/>
      <c r="AB323" s="496"/>
      <c r="AC323" s="496"/>
      <c r="AD323" s="496"/>
      <c r="AE323" s="496"/>
      <c r="AF323" s="496"/>
      <c r="AG323" s="496"/>
      <c r="AH323" s="496"/>
      <c r="AI323" s="496"/>
      <c r="AJ323" s="496"/>
      <c r="AK323" s="496"/>
      <c r="AL323" s="496"/>
      <c r="AM323" s="496"/>
      <c r="AN323" s="496"/>
      <c r="AO323" s="496"/>
      <c r="AP323" s="496"/>
      <c r="AQ323" s="496"/>
      <c r="AR323" s="496"/>
      <c r="AS323" s="496"/>
      <c r="AT323" s="496"/>
      <c r="AU323" s="496"/>
      <c r="AV323" s="496"/>
      <c r="AW323" s="496"/>
      <c r="AX323" s="496"/>
      <c r="AY323" s="496"/>
      <c r="AZ323" s="496"/>
      <c r="BA323" s="496"/>
      <c r="BB323" s="496"/>
      <c r="BC323" s="496"/>
      <c r="BD323" s="496"/>
      <c r="BE323" s="496"/>
      <c r="BF323" s="496"/>
      <c r="BG323" s="496"/>
      <c r="BH323" s="496"/>
      <c r="BI323" s="496"/>
      <c r="BJ323" s="496"/>
      <c r="BK323" s="496"/>
      <c r="BL323" s="496"/>
      <c r="BM323" s="496"/>
      <c r="BN323" s="496"/>
      <c r="BO323" s="496"/>
      <c r="BP323" s="496"/>
      <c r="BQ323" s="496"/>
      <c r="BR323" s="496"/>
      <c r="BS323" s="496"/>
      <c r="BT323" s="496"/>
      <c r="BU323" s="496"/>
      <c r="BV323" s="496"/>
      <c r="BW323" s="496"/>
      <c r="BX323" s="496"/>
      <c r="BY323" s="496"/>
      <c r="BZ323" s="496"/>
      <c r="CA323" s="496"/>
    </row>
    <row r="324" spans="7:79">
      <c r="G324" s="496"/>
      <c r="H324" s="496"/>
      <c r="I324" s="496"/>
      <c r="J324" s="496"/>
      <c r="K324" s="496"/>
      <c r="L324" s="496"/>
      <c r="M324" s="496"/>
      <c r="N324" s="496"/>
      <c r="O324" s="496"/>
      <c r="P324" s="496"/>
      <c r="Q324" s="496"/>
      <c r="R324" s="496"/>
      <c r="S324" s="496"/>
      <c r="T324" s="496"/>
      <c r="U324" s="496"/>
      <c r="V324" s="496"/>
      <c r="W324" s="496"/>
      <c r="X324" s="496"/>
      <c r="Y324" s="496"/>
      <c r="Z324" s="496"/>
      <c r="AA324" s="496"/>
      <c r="AB324" s="496"/>
      <c r="AC324" s="496"/>
      <c r="AD324" s="496"/>
      <c r="AE324" s="496"/>
      <c r="AF324" s="496"/>
      <c r="AG324" s="496"/>
      <c r="AH324" s="496"/>
      <c r="AI324" s="496"/>
      <c r="AJ324" s="496"/>
      <c r="AK324" s="496"/>
      <c r="AL324" s="496"/>
      <c r="AM324" s="496"/>
      <c r="AN324" s="496"/>
      <c r="AO324" s="496"/>
      <c r="AP324" s="496"/>
      <c r="AQ324" s="496"/>
      <c r="AR324" s="496"/>
      <c r="AS324" s="496"/>
      <c r="AT324" s="496"/>
      <c r="AU324" s="496"/>
      <c r="AV324" s="496"/>
      <c r="AW324" s="496"/>
      <c r="AX324" s="496"/>
      <c r="AY324" s="496"/>
      <c r="AZ324" s="496"/>
      <c r="BA324" s="496"/>
      <c r="BB324" s="496"/>
      <c r="BC324" s="496"/>
      <c r="BD324" s="496"/>
      <c r="BE324" s="496"/>
      <c r="BF324" s="496"/>
      <c r="BG324" s="496"/>
      <c r="BH324" s="496"/>
      <c r="BI324" s="496"/>
      <c r="BJ324" s="496"/>
      <c r="BK324" s="496"/>
      <c r="BL324" s="496"/>
      <c r="BM324" s="496"/>
      <c r="BN324" s="496"/>
      <c r="BO324" s="496"/>
      <c r="BP324" s="496"/>
      <c r="BQ324" s="496"/>
      <c r="BR324" s="496"/>
      <c r="BS324" s="496"/>
      <c r="BT324" s="496"/>
      <c r="BU324" s="496"/>
      <c r="BV324" s="496"/>
      <c r="BW324" s="496"/>
      <c r="BX324" s="496"/>
      <c r="BY324" s="496"/>
      <c r="BZ324" s="496"/>
      <c r="CA324" s="496"/>
    </row>
    <row r="325" spans="7:79">
      <c r="G325" s="496"/>
      <c r="H325" s="496"/>
      <c r="I325" s="496"/>
      <c r="J325" s="496"/>
      <c r="K325" s="496"/>
      <c r="L325" s="496"/>
      <c r="M325" s="496"/>
      <c r="N325" s="496"/>
      <c r="O325" s="496"/>
      <c r="P325" s="496"/>
      <c r="Q325" s="496"/>
      <c r="R325" s="496"/>
      <c r="S325" s="496"/>
      <c r="T325" s="496"/>
      <c r="U325" s="496"/>
      <c r="V325" s="496"/>
      <c r="W325" s="496"/>
      <c r="X325" s="496"/>
      <c r="Y325" s="496"/>
      <c r="Z325" s="496"/>
      <c r="AA325" s="496"/>
      <c r="AB325" s="496"/>
      <c r="AC325" s="496"/>
      <c r="AD325" s="496"/>
      <c r="AE325" s="496"/>
      <c r="AF325" s="496"/>
      <c r="AG325" s="496"/>
      <c r="AH325" s="496"/>
      <c r="AI325" s="496"/>
      <c r="AJ325" s="496"/>
      <c r="AK325" s="496"/>
      <c r="AL325" s="496"/>
      <c r="AM325" s="496"/>
      <c r="AN325" s="496"/>
      <c r="AO325" s="496"/>
      <c r="AP325" s="496"/>
      <c r="AQ325" s="496"/>
      <c r="AR325" s="496"/>
      <c r="AS325" s="496"/>
      <c r="AT325" s="496"/>
      <c r="AU325" s="496"/>
      <c r="AV325" s="496"/>
      <c r="AW325" s="496"/>
      <c r="AX325" s="496"/>
      <c r="AY325" s="496"/>
      <c r="AZ325" s="496"/>
      <c r="BA325" s="496"/>
      <c r="BB325" s="496"/>
      <c r="BC325" s="496"/>
      <c r="BD325" s="496"/>
      <c r="BE325" s="496"/>
      <c r="BF325" s="496"/>
      <c r="BG325" s="496"/>
      <c r="BH325" s="496"/>
      <c r="BI325" s="496"/>
      <c r="BJ325" s="496"/>
      <c r="BK325" s="496"/>
      <c r="BL325" s="496"/>
      <c r="BM325" s="496"/>
      <c r="BN325" s="496"/>
      <c r="BO325" s="496"/>
      <c r="BP325" s="496"/>
      <c r="BQ325" s="496"/>
      <c r="BR325" s="496"/>
      <c r="BS325" s="496"/>
      <c r="BT325" s="496"/>
      <c r="BU325" s="496"/>
      <c r="BV325" s="496"/>
      <c r="BW325" s="496"/>
      <c r="BX325" s="496"/>
      <c r="BY325" s="496"/>
      <c r="BZ325" s="496"/>
      <c r="CA325" s="496"/>
    </row>
    <row r="326" spans="7:79">
      <c r="G326" s="496"/>
      <c r="H326" s="496"/>
      <c r="I326" s="496"/>
      <c r="J326" s="496"/>
      <c r="K326" s="496"/>
      <c r="L326" s="496"/>
      <c r="M326" s="496"/>
      <c r="N326" s="496"/>
      <c r="O326" s="496"/>
      <c r="P326" s="496"/>
      <c r="Q326" s="496"/>
      <c r="R326" s="496"/>
      <c r="S326" s="496"/>
      <c r="T326" s="496"/>
      <c r="U326" s="496"/>
      <c r="V326" s="496"/>
      <c r="W326" s="496"/>
      <c r="X326" s="496"/>
      <c r="Y326" s="496"/>
      <c r="Z326" s="496"/>
      <c r="AA326" s="496"/>
      <c r="AB326" s="496"/>
      <c r="AC326" s="496"/>
      <c r="AD326" s="496"/>
      <c r="AE326" s="496"/>
      <c r="AF326" s="496"/>
      <c r="AG326" s="496"/>
      <c r="AH326" s="496"/>
      <c r="AI326" s="496"/>
      <c r="AJ326" s="496"/>
      <c r="AK326" s="496"/>
      <c r="AL326" s="496"/>
      <c r="AM326" s="496"/>
      <c r="AN326" s="496"/>
      <c r="AO326" s="496"/>
      <c r="AP326" s="496"/>
      <c r="AQ326" s="496"/>
      <c r="AR326" s="496"/>
      <c r="AS326" s="496"/>
      <c r="AT326" s="496"/>
      <c r="AU326" s="496"/>
      <c r="AV326" s="496"/>
      <c r="AW326" s="496"/>
      <c r="AX326" s="496"/>
      <c r="AY326" s="496"/>
      <c r="AZ326" s="496"/>
      <c r="BA326" s="496"/>
      <c r="BB326" s="496"/>
      <c r="BC326" s="496"/>
      <c r="BD326" s="496"/>
      <c r="BE326" s="496"/>
      <c r="BF326" s="496"/>
      <c r="BG326" s="496"/>
      <c r="BH326" s="496"/>
      <c r="BI326" s="496"/>
      <c r="BJ326" s="496"/>
      <c r="BK326" s="496"/>
      <c r="BL326" s="496"/>
      <c r="BM326" s="496"/>
      <c r="BN326" s="496"/>
      <c r="BO326" s="496"/>
      <c r="BP326" s="496"/>
      <c r="BQ326" s="496"/>
      <c r="BR326" s="496"/>
      <c r="BS326" s="496"/>
      <c r="BT326" s="496"/>
      <c r="BU326" s="496"/>
      <c r="BV326" s="496"/>
      <c r="BW326" s="496"/>
      <c r="BX326" s="496"/>
      <c r="BY326" s="496"/>
      <c r="BZ326" s="496"/>
      <c r="CA326" s="496"/>
    </row>
    <row r="327" spans="7:79">
      <c r="G327" s="496"/>
      <c r="H327" s="496"/>
      <c r="I327" s="496"/>
      <c r="J327" s="496"/>
      <c r="K327" s="496"/>
      <c r="L327" s="496"/>
      <c r="M327" s="496"/>
      <c r="N327" s="496"/>
      <c r="O327" s="496"/>
      <c r="P327" s="496"/>
      <c r="Q327" s="496"/>
      <c r="R327" s="496"/>
      <c r="S327" s="496"/>
      <c r="T327" s="496"/>
      <c r="U327" s="496"/>
      <c r="V327" s="496"/>
      <c r="W327" s="496"/>
      <c r="X327" s="496"/>
      <c r="Y327" s="496"/>
      <c r="Z327" s="496"/>
      <c r="AA327" s="496"/>
      <c r="AB327" s="496"/>
      <c r="AC327" s="496"/>
      <c r="AD327" s="496"/>
      <c r="AE327" s="496"/>
      <c r="AF327" s="496"/>
      <c r="AG327" s="496"/>
      <c r="AH327" s="496"/>
      <c r="AI327" s="496"/>
      <c r="AJ327" s="496"/>
      <c r="AK327" s="496"/>
      <c r="AL327" s="496"/>
      <c r="AM327" s="496"/>
      <c r="AN327" s="496"/>
      <c r="AO327" s="496"/>
      <c r="AP327" s="496"/>
      <c r="AQ327" s="496"/>
      <c r="AR327" s="496"/>
      <c r="AS327" s="496"/>
      <c r="AT327" s="496"/>
      <c r="AU327" s="496"/>
      <c r="AV327" s="496"/>
      <c r="AW327" s="496"/>
      <c r="AX327" s="496"/>
      <c r="AY327" s="496"/>
      <c r="AZ327" s="496"/>
      <c r="BA327" s="496"/>
      <c r="BB327" s="496"/>
      <c r="BC327" s="496"/>
      <c r="BD327" s="496"/>
      <c r="BE327" s="496"/>
      <c r="BF327" s="496"/>
      <c r="BG327" s="496"/>
      <c r="BH327" s="496"/>
      <c r="BI327" s="496"/>
      <c r="BJ327" s="496"/>
      <c r="BK327" s="496"/>
      <c r="BL327" s="496"/>
      <c r="BM327" s="496"/>
      <c r="BN327" s="496"/>
      <c r="BO327" s="496"/>
      <c r="BP327" s="496"/>
      <c r="BQ327" s="496"/>
      <c r="BR327" s="496"/>
      <c r="BS327" s="496"/>
      <c r="BT327" s="496"/>
      <c r="BU327" s="496"/>
      <c r="BV327" s="496"/>
      <c r="BW327" s="496"/>
      <c r="BX327" s="496"/>
      <c r="BY327" s="496"/>
      <c r="BZ327" s="496"/>
      <c r="CA327" s="496"/>
    </row>
    <row r="328" spans="7:79">
      <c r="G328" s="496"/>
      <c r="H328" s="496"/>
      <c r="I328" s="496"/>
      <c r="J328" s="496"/>
      <c r="K328" s="496"/>
      <c r="L328" s="496"/>
      <c r="M328" s="496"/>
      <c r="N328" s="496"/>
      <c r="O328" s="496"/>
      <c r="P328" s="496"/>
      <c r="Q328" s="496"/>
      <c r="R328" s="496"/>
      <c r="S328" s="496"/>
      <c r="T328" s="496"/>
      <c r="U328" s="496"/>
      <c r="V328" s="496"/>
      <c r="W328" s="496"/>
      <c r="X328" s="496"/>
      <c r="Y328" s="496"/>
      <c r="Z328" s="496"/>
      <c r="AA328" s="496"/>
      <c r="AB328" s="496"/>
      <c r="AC328" s="496"/>
      <c r="AD328" s="496"/>
      <c r="AE328" s="496"/>
      <c r="AF328" s="496"/>
      <c r="AG328" s="496"/>
      <c r="AH328" s="496"/>
      <c r="AI328" s="496"/>
      <c r="AJ328" s="496"/>
      <c r="AK328" s="496"/>
      <c r="AL328" s="496"/>
      <c r="AM328" s="496"/>
      <c r="AN328" s="496"/>
      <c r="AO328" s="496"/>
      <c r="AP328" s="496"/>
      <c r="AQ328" s="496"/>
      <c r="AR328" s="496"/>
      <c r="AS328" s="496"/>
      <c r="AT328" s="496"/>
      <c r="AU328" s="496"/>
      <c r="AV328" s="496"/>
      <c r="AW328" s="496"/>
      <c r="AX328" s="496"/>
      <c r="AY328" s="496"/>
      <c r="AZ328" s="496"/>
      <c r="BA328" s="496"/>
      <c r="BB328" s="496"/>
      <c r="BC328" s="496"/>
      <c r="BD328" s="496"/>
      <c r="BE328" s="496"/>
      <c r="BF328" s="496"/>
      <c r="BG328" s="496"/>
      <c r="BH328" s="496"/>
      <c r="BI328" s="496"/>
      <c r="BJ328" s="496"/>
      <c r="BK328" s="496"/>
      <c r="BL328" s="496"/>
      <c r="BM328" s="496"/>
      <c r="BN328" s="496"/>
      <c r="BO328" s="496"/>
      <c r="BP328" s="496"/>
      <c r="BQ328" s="496"/>
      <c r="BR328" s="496"/>
      <c r="BS328" s="496"/>
      <c r="BT328" s="496"/>
      <c r="BU328" s="496"/>
      <c r="BV328" s="496"/>
      <c r="BW328" s="496"/>
      <c r="BX328" s="496"/>
      <c r="BY328" s="496"/>
      <c r="BZ328" s="496"/>
      <c r="CA328" s="496"/>
    </row>
    <row r="329" spans="7:79">
      <c r="G329" s="496"/>
      <c r="H329" s="496"/>
      <c r="I329" s="496"/>
      <c r="J329" s="496"/>
      <c r="K329" s="496"/>
      <c r="L329" s="496"/>
      <c r="M329" s="496"/>
      <c r="N329" s="496"/>
      <c r="O329" s="496"/>
      <c r="P329" s="496"/>
      <c r="Q329" s="496"/>
      <c r="R329" s="496"/>
      <c r="S329" s="496"/>
      <c r="T329" s="496"/>
      <c r="U329" s="496"/>
      <c r="V329" s="496"/>
      <c r="W329" s="496"/>
      <c r="X329" s="496"/>
      <c r="Y329" s="496"/>
      <c r="Z329" s="496"/>
      <c r="AA329" s="496"/>
      <c r="AB329" s="496"/>
      <c r="AC329" s="496"/>
      <c r="AD329" s="496"/>
      <c r="AE329" s="496"/>
      <c r="AF329" s="496"/>
      <c r="AG329" s="496"/>
      <c r="AH329" s="496"/>
      <c r="AI329" s="496"/>
      <c r="AJ329" s="496"/>
      <c r="AK329" s="496"/>
      <c r="AL329" s="496"/>
      <c r="AM329" s="496"/>
      <c r="AN329" s="496"/>
      <c r="AO329" s="496"/>
      <c r="AP329" s="496"/>
      <c r="AQ329" s="496"/>
      <c r="AR329" s="496"/>
      <c r="AS329" s="496"/>
      <c r="AT329" s="496"/>
      <c r="AU329" s="496"/>
      <c r="AV329" s="496"/>
      <c r="AW329" s="496"/>
      <c r="AX329" s="496"/>
      <c r="AY329" s="496"/>
      <c r="AZ329" s="496"/>
      <c r="BA329" s="496"/>
      <c r="BB329" s="496"/>
      <c r="BC329" s="496"/>
      <c r="BD329" s="496"/>
      <c r="BE329" s="496"/>
      <c r="BF329" s="496"/>
      <c r="BG329" s="496"/>
      <c r="BH329" s="496"/>
      <c r="BI329" s="496"/>
      <c r="BJ329" s="496"/>
      <c r="BK329" s="496"/>
      <c r="BL329" s="496"/>
      <c r="BM329" s="496"/>
      <c r="BN329" s="496"/>
      <c r="BO329" s="496"/>
      <c r="BP329" s="496"/>
      <c r="BQ329" s="496"/>
      <c r="BR329" s="496"/>
      <c r="BS329" s="496"/>
      <c r="BT329" s="496"/>
      <c r="BU329" s="496"/>
      <c r="BV329" s="496"/>
      <c r="BW329" s="496"/>
      <c r="BX329" s="496"/>
      <c r="BY329" s="496"/>
      <c r="BZ329" s="496"/>
      <c r="CA329" s="496"/>
    </row>
    <row r="330" spans="7:79">
      <c r="G330" s="496"/>
      <c r="H330" s="496"/>
      <c r="I330" s="496"/>
      <c r="J330" s="496"/>
      <c r="K330" s="496"/>
      <c r="L330" s="496"/>
      <c r="M330" s="496"/>
      <c r="N330" s="496"/>
      <c r="O330" s="496"/>
      <c r="P330" s="496"/>
      <c r="Q330" s="496"/>
      <c r="R330" s="496"/>
      <c r="S330" s="496"/>
      <c r="T330" s="496"/>
      <c r="U330" s="496"/>
      <c r="V330" s="496"/>
      <c r="W330" s="496"/>
      <c r="X330" s="496"/>
      <c r="Y330" s="496"/>
      <c r="Z330" s="496"/>
      <c r="AA330" s="496"/>
      <c r="AB330" s="496"/>
      <c r="AC330" s="496"/>
      <c r="AD330" s="496"/>
      <c r="AE330" s="496"/>
      <c r="AF330" s="496"/>
      <c r="AG330" s="496"/>
      <c r="AH330" s="496"/>
      <c r="AI330" s="496"/>
      <c r="AJ330" s="496"/>
      <c r="AK330" s="496"/>
      <c r="AL330" s="496"/>
      <c r="AM330" s="496"/>
      <c r="AN330" s="496"/>
      <c r="AO330" s="496"/>
      <c r="AP330" s="496"/>
      <c r="AQ330" s="496"/>
      <c r="AR330" s="496"/>
      <c r="AS330" s="496"/>
      <c r="AT330" s="496"/>
      <c r="AU330" s="496"/>
      <c r="AV330" s="496"/>
      <c r="AW330" s="496"/>
      <c r="AX330" s="496"/>
      <c r="AY330" s="496"/>
      <c r="AZ330" s="496"/>
      <c r="BA330" s="496"/>
      <c r="BB330" s="496"/>
      <c r="BC330" s="496"/>
      <c r="BD330" s="496"/>
      <c r="BE330" s="496"/>
      <c r="BF330" s="496"/>
      <c r="BG330" s="496"/>
      <c r="BH330" s="496"/>
      <c r="BI330" s="496"/>
      <c r="BJ330" s="496"/>
      <c r="BK330" s="496"/>
      <c r="BL330" s="496"/>
      <c r="BM330" s="496"/>
      <c r="BN330" s="496"/>
      <c r="BO330" s="496"/>
      <c r="BP330" s="496"/>
      <c r="BQ330" s="496"/>
      <c r="BR330" s="496"/>
      <c r="BS330" s="496"/>
      <c r="BT330" s="496"/>
      <c r="BU330" s="496"/>
      <c r="BV330" s="496"/>
      <c r="BW330" s="496"/>
      <c r="BX330" s="496"/>
      <c r="BY330" s="496"/>
      <c r="BZ330" s="496"/>
      <c r="CA330" s="496"/>
    </row>
    <row r="331" spans="7:79">
      <c r="G331" s="496"/>
      <c r="H331" s="496"/>
      <c r="I331" s="496"/>
      <c r="J331" s="496"/>
      <c r="K331" s="496"/>
      <c r="L331" s="496"/>
      <c r="M331" s="496"/>
      <c r="N331" s="496"/>
      <c r="O331" s="496"/>
      <c r="P331" s="496"/>
      <c r="Q331" s="496"/>
      <c r="R331" s="496"/>
      <c r="S331" s="496"/>
      <c r="T331" s="496"/>
      <c r="U331" s="496"/>
      <c r="V331" s="496"/>
      <c r="W331" s="496"/>
      <c r="X331" s="496"/>
      <c r="Y331" s="496"/>
      <c r="Z331" s="496"/>
      <c r="AA331" s="496"/>
      <c r="AB331" s="496"/>
      <c r="AC331" s="496"/>
      <c r="AD331" s="496"/>
      <c r="AE331" s="496"/>
      <c r="AF331" s="496"/>
      <c r="AG331" s="496"/>
      <c r="AH331" s="496"/>
      <c r="AI331" s="496"/>
      <c r="AJ331" s="496"/>
      <c r="AK331" s="496"/>
      <c r="AL331" s="496"/>
      <c r="AM331" s="496"/>
      <c r="AN331" s="496"/>
      <c r="AO331" s="496"/>
      <c r="AP331" s="496"/>
      <c r="AQ331" s="496"/>
      <c r="AR331" s="496"/>
      <c r="AS331" s="496"/>
      <c r="AT331" s="496"/>
      <c r="AU331" s="496"/>
      <c r="AV331" s="496"/>
      <c r="AW331" s="496"/>
      <c r="AX331" s="496"/>
      <c r="AY331" s="496"/>
      <c r="AZ331" s="496"/>
      <c r="BA331" s="496"/>
      <c r="BB331" s="496"/>
      <c r="BC331" s="496"/>
      <c r="BD331" s="496"/>
      <c r="BE331" s="496"/>
      <c r="BF331" s="496"/>
      <c r="BG331" s="496"/>
      <c r="BH331" s="496"/>
      <c r="BI331" s="496"/>
      <c r="BJ331" s="496"/>
      <c r="BK331" s="496"/>
      <c r="BL331" s="496"/>
      <c r="BM331" s="496"/>
      <c r="BN331" s="496"/>
      <c r="BO331" s="496"/>
      <c r="BP331" s="496"/>
      <c r="BQ331" s="496"/>
      <c r="BR331" s="496"/>
      <c r="BS331" s="496"/>
      <c r="BT331" s="496"/>
      <c r="BU331" s="496"/>
      <c r="BV331" s="496"/>
      <c r="BW331" s="496"/>
      <c r="BX331" s="496"/>
      <c r="BY331" s="496"/>
      <c r="BZ331" s="496"/>
      <c r="CA331" s="496"/>
    </row>
    <row r="332" spans="7:79">
      <c r="G332" s="496"/>
      <c r="H332" s="496"/>
      <c r="I332" s="496"/>
      <c r="J332" s="496"/>
      <c r="K332" s="496"/>
      <c r="L332" s="496"/>
      <c r="M332" s="496"/>
      <c r="N332" s="496"/>
      <c r="O332" s="496"/>
      <c r="P332" s="496"/>
      <c r="Q332" s="496"/>
      <c r="R332" s="496"/>
      <c r="S332" s="496"/>
      <c r="T332" s="496"/>
      <c r="U332" s="496"/>
      <c r="V332" s="496"/>
      <c r="W332" s="496"/>
      <c r="X332" s="496"/>
      <c r="Y332" s="496"/>
      <c r="Z332" s="496"/>
      <c r="AA332" s="496"/>
      <c r="AB332" s="496"/>
      <c r="AC332" s="496"/>
      <c r="AD332" s="496"/>
      <c r="AE332" s="496"/>
      <c r="AF332" s="496"/>
      <c r="AG332" s="496"/>
      <c r="AH332" s="496"/>
      <c r="AI332" s="496"/>
      <c r="AJ332" s="496"/>
      <c r="AK332" s="496"/>
      <c r="AL332" s="496"/>
      <c r="AM332" s="496"/>
      <c r="AN332" s="496"/>
      <c r="AO332" s="496"/>
      <c r="AP332" s="496"/>
      <c r="AQ332" s="496"/>
      <c r="AR332" s="496"/>
      <c r="AS332" s="496"/>
      <c r="AT332" s="496"/>
      <c r="AU332" s="496"/>
      <c r="AV332" s="496"/>
      <c r="AW332" s="496"/>
      <c r="AX332" s="496"/>
      <c r="AY332" s="496"/>
      <c r="AZ332" s="496"/>
      <c r="BA332" s="496"/>
      <c r="BB332" s="496"/>
      <c r="BC332" s="496"/>
      <c r="BD332" s="496"/>
      <c r="BE332" s="496"/>
      <c r="BF332" s="496"/>
      <c r="BG332" s="496"/>
      <c r="BH332" s="496"/>
      <c r="BI332" s="496"/>
      <c r="BJ332" s="496"/>
      <c r="BK332" s="496"/>
      <c r="BL332" s="496"/>
      <c r="BM332" s="496"/>
      <c r="BN332" s="496"/>
      <c r="BO332" s="496"/>
      <c r="BP332" s="496"/>
      <c r="BQ332" s="496"/>
      <c r="BR332" s="496"/>
      <c r="BS332" s="496"/>
      <c r="BT332" s="496"/>
      <c r="BU332" s="496"/>
      <c r="BV332" s="496"/>
      <c r="BW332" s="496"/>
      <c r="BX332" s="496"/>
      <c r="BY332" s="496"/>
      <c r="BZ332" s="496"/>
      <c r="CA332" s="496"/>
    </row>
    <row r="333" spans="7:79">
      <c r="G333" s="496"/>
      <c r="H333" s="496"/>
      <c r="I333" s="496"/>
      <c r="J333" s="496"/>
      <c r="K333" s="496"/>
      <c r="L333" s="496"/>
      <c r="M333" s="496"/>
      <c r="N333" s="496"/>
      <c r="O333" s="496"/>
      <c r="P333" s="496"/>
      <c r="Q333" s="496"/>
      <c r="R333" s="496"/>
      <c r="S333" s="496"/>
      <c r="T333" s="496"/>
      <c r="U333" s="496"/>
      <c r="V333" s="496"/>
      <c r="W333" s="496"/>
      <c r="X333" s="496"/>
      <c r="Y333" s="496"/>
      <c r="Z333" s="496"/>
      <c r="AA333" s="496"/>
      <c r="AB333" s="496"/>
      <c r="AC333" s="496"/>
      <c r="AD333" s="496"/>
      <c r="AE333" s="496"/>
      <c r="AF333" s="496"/>
      <c r="AG333" s="496"/>
      <c r="AH333" s="496"/>
      <c r="AI333" s="496"/>
      <c r="AJ333" s="496"/>
      <c r="AK333" s="496"/>
      <c r="AL333" s="496"/>
      <c r="AM333" s="496"/>
      <c r="AN333" s="496"/>
      <c r="AO333" s="496"/>
      <c r="AP333" s="496"/>
      <c r="AQ333" s="496"/>
      <c r="AR333" s="496"/>
      <c r="AS333" s="496"/>
      <c r="AT333" s="496"/>
      <c r="AU333" s="496"/>
      <c r="AV333" s="496"/>
      <c r="AW333" s="496"/>
      <c r="AX333" s="496"/>
      <c r="AY333" s="496"/>
      <c r="AZ333" s="496"/>
      <c r="BA333" s="496"/>
      <c r="BB333" s="496"/>
      <c r="BC333" s="496"/>
      <c r="BD333" s="496"/>
      <c r="BE333" s="496"/>
      <c r="BF333" s="496"/>
      <c r="BG333" s="496"/>
      <c r="BH333" s="496"/>
      <c r="BI333" s="496"/>
      <c r="BJ333" s="496"/>
      <c r="BK333" s="496"/>
      <c r="BL333" s="496"/>
      <c r="BM333" s="496"/>
      <c r="BN333" s="496"/>
      <c r="BO333" s="496"/>
      <c r="BP333" s="496"/>
      <c r="BQ333" s="496"/>
      <c r="BR333" s="496"/>
      <c r="BS333" s="496"/>
      <c r="BT333" s="496"/>
      <c r="BU333" s="496"/>
      <c r="BV333" s="496"/>
      <c r="BW333" s="496"/>
      <c r="BX333" s="496"/>
      <c r="BY333" s="496"/>
      <c r="BZ333" s="496"/>
      <c r="CA333" s="496"/>
    </row>
    <row r="334" spans="7:79">
      <c r="G334" s="496"/>
      <c r="H334" s="496"/>
      <c r="I334" s="496"/>
      <c r="J334" s="496"/>
      <c r="K334" s="496"/>
      <c r="L334" s="496"/>
      <c r="M334" s="496"/>
      <c r="N334" s="496"/>
      <c r="O334" s="496"/>
      <c r="P334" s="496"/>
      <c r="Q334" s="496"/>
      <c r="R334" s="496"/>
      <c r="S334" s="496"/>
      <c r="T334" s="496"/>
      <c r="U334" s="496"/>
      <c r="V334" s="496"/>
      <c r="W334" s="496"/>
      <c r="X334" s="496"/>
      <c r="Y334" s="496"/>
      <c r="Z334" s="496"/>
      <c r="AA334" s="496"/>
      <c r="AB334" s="496"/>
      <c r="AC334" s="496"/>
      <c r="AD334" s="496"/>
      <c r="AE334" s="496"/>
      <c r="AF334" s="496"/>
      <c r="AG334" s="496"/>
      <c r="AH334" s="496"/>
      <c r="AI334" s="496"/>
      <c r="AJ334" s="496"/>
      <c r="AK334" s="496"/>
      <c r="AL334" s="496"/>
      <c r="AM334" s="496"/>
      <c r="AN334" s="496"/>
      <c r="AO334" s="496"/>
      <c r="AP334" s="496"/>
      <c r="AQ334" s="496"/>
      <c r="AR334" s="496"/>
      <c r="AS334" s="496"/>
      <c r="AT334" s="496"/>
      <c r="AU334" s="496"/>
      <c r="AV334" s="496"/>
      <c r="AW334" s="496"/>
      <c r="AX334" s="496"/>
      <c r="AY334" s="496"/>
      <c r="AZ334" s="496"/>
      <c r="BA334" s="496"/>
      <c r="BB334" s="496"/>
      <c r="BC334" s="496"/>
      <c r="BD334" s="496"/>
      <c r="BE334" s="496"/>
      <c r="BF334" s="496"/>
      <c r="BG334" s="496"/>
      <c r="BH334" s="496"/>
      <c r="BI334" s="496"/>
      <c r="BJ334" s="496"/>
      <c r="BK334" s="496"/>
      <c r="BL334" s="496"/>
      <c r="BM334" s="496"/>
      <c r="BN334" s="496"/>
      <c r="BO334" s="496"/>
      <c r="BP334" s="496"/>
      <c r="BQ334" s="496"/>
      <c r="BR334" s="496"/>
      <c r="BS334" s="496"/>
      <c r="BT334" s="496"/>
      <c r="BU334" s="496"/>
      <c r="BV334" s="496"/>
      <c r="BW334" s="496"/>
      <c r="BX334" s="496"/>
      <c r="BY334" s="496"/>
      <c r="BZ334" s="496"/>
      <c r="CA334" s="496"/>
    </row>
    <row r="335" spans="7:79">
      <c r="G335" s="496"/>
      <c r="H335" s="496"/>
      <c r="I335" s="496"/>
      <c r="J335" s="496"/>
      <c r="K335" s="496"/>
      <c r="L335" s="496"/>
      <c r="M335" s="496"/>
      <c r="N335" s="496"/>
      <c r="O335" s="496"/>
      <c r="P335" s="496"/>
      <c r="Q335" s="496"/>
      <c r="R335" s="496"/>
      <c r="S335" s="496"/>
      <c r="T335" s="496"/>
      <c r="U335" s="496"/>
      <c r="V335" s="496"/>
      <c r="W335" s="496"/>
      <c r="X335" s="496"/>
      <c r="Y335" s="496"/>
      <c r="Z335" s="496"/>
      <c r="AA335" s="496"/>
      <c r="AB335" s="496"/>
      <c r="AC335" s="496"/>
      <c r="AD335" s="496"/>
      <c r="AE335" s="496"/>
      <c r="AF335" s="496"/>
      <c r="AG335" s="496"/>
      <c r="AH335" s="496"/>
      <c r="AI335" s="496"/>
      <c r="AJ335" s="496"/>
      <c r="AK335" s="496"/>
      <c r="AL335" s="496"/>
      <c r="AM335" s="496"/>
      <c r="AN335" s="496"/>
      <c r="AO335" s="496"/>
      <c r="AP335" s="496"/>
      <c r="AQ335" s="496"/>
      <c r="AR335" s="496"/>
      <c r="AS335" s="496"/>
      <c r="AT335" s="496"/>
      <c r="AU335" s="496"/>
      <c r="AV335" s="496"/>
      <c r="AW335" s="496"/>
      <c r="AX335" s="496"/>
      <c r="AY335" s="496"/>
      <c r="AZ335" s="496"/>
      <c r="BA335" s="496"/>
      <c r="BB335" s="496"/>
      <c r="BC335" s="496"/>
      <c r="BD335" s="496"/>
      <c r="BE335" s="496"/>
      <c r="BF335" s="496"/>
      <c r="BG335" s="496"/>
      <c r="BH335" s="496"/>
      <c r="BI335" s="496"/>
      <c r="BJ335" s="496"/>
      <c r="BK335" s="496"/>
      <c r="BL335" s="496"/>
      <c r="BM335" s="496"/>
      <c r="BN335" s="496"/>
      <c r="BO335" s="496"/>
      <c r="BP335" s="496"/>
      <c r="BQ335" s="496"/>
      <c r="BR335" s="496"/>
      <c r="BS335" s="496"/>
      <c r="BT335" s="496"/>
      <c r="BU335" s="496"/>
      <c r="BV335" s="496"/>
      <c r="BW335" s="496"/>
      <c r="BX335" s="496"/>
      <c r="BY335" s="496"/>
      <c r="BZ335" s="496"/>
      <c r="CA335" s="496"/>
    </row>
    <row r="336" spans="7:79">
      <c r="G336" s="496"/>
      <c r="H336" s="496"/>
      <c r="I336" s="496"/>
      <c r="J336" s="496"/>
      <c r="K336" s="496"/>
      <c r="L336" s="496"/>
      <c r="M336" s="496"/>
      <c r="N336" s="496"/>
      <c r="O336" s="496"/>
      <c r="P336" s="496"/>
      <c r="Q336" s="496"/>
      <c r="R336" s="496"/>
      <c r="S336" s="496"/>
      <c r="T336" s="496"/>
      <c r="U336" s="496"/>
      <c r="V336" s="496"/>
      <c r="W336" s="496"/>
      <c r="X336" s="496"/>
      <c r="Y336" s="496"/>
      <c r="Z336" s="496"/>
      <c r="AA336" s="496"/>
      <c r="AB336" s="496"/>
      <c r="AC336" s="496"/>
      <c r="AD336" s="496"/>
      <c r="AE336" s="496"/>
      <c r="AF336" s="496"/>
      <c r="AG336" s="496"/>
      <c r="AH336" s="496"/>
      <c r="AI336" s="496"/>
      <c r="AJ336" s="496"/>
      <c r="AK336" s="496"/>
      <c r="AL336" s="496"/>
      <c r="AM336" s="496"/>
      <c r="AN336" s="496"/>
      <c r="AO336" s="496"/>
      <c r="AP336" s="496"/>
      <c r="AQ336" s="496"/>
      <c r="AR336" s="496"/>
      <c r="AS336" s="496"/>
      <c r="AT336" s="496"/>
      <c r="AU336" s="496"/>
      <c r="AV336" s="496"/>
      <c r="AW336" s="496"/>
      <c r="AX336" s="496"/>
      <c r="AY336" s="496"/>
      <c r="AZ336" s="496"/>
      <c r="BA336" s="496"/>
      <c r="BB336" s="496"/>
      <c r="BC336" s="496"/>
      <c r="BD336" s="496"/>
      <c r="BE336" s="496"/>
      <c r="BF336" s="496"/>
      <c r="BG336" s="496"/>
      <c r="BH336" s="496"/>
      <c r="BI336" s="496"/>
      <c r="BJ336" s="496"/>
      <c r="BK336" s="496"/>
      <c r="BL336" s="496"/>
      <c r="BM336" s="496"/>
      <c r="BN336" s="496"/>
      <c r="BO336" s="496"/>
      <c r="BP336" s="496"/>
      <c r="BQ336" s="496"/>
      <c r="BR336" s="496"/>
      <c r="BS336" s="496"/>
      <c r="BT336" s="496"/>
      <c r="BU336" s="496"/>
      <c r="BV336" s="496"/>
      <c r="BW336" s="496"/>
      <c r="BX336" s="496"/>
      <c r="BY336" s="496"/>
      <c r="BZ336" s="496"/>
      <c r="CA336" s="496"/>
    </row>
    <row r="337" spans="7:79">
      <c r="G337" s="496"/>
      <c r="H337" s="496"/>
      <c r="I337" s="496"/>
      <c r="J337" s="496"/>
      <c r="K337" s="496"/>
      <c r="L337" s="496"/>
      <c r="M337" s="496"/>
      <c r="N337" s="496"/>
      <c r="O337" s="496"/>
      <c r="P337" s="496"/>
      <c r="Q337" s="496"/>
      <c r="R337" s="496"/>
      <c r="S337" s="496"/>
      <c r="T337" s="496"/>
      <c r="U337" s="496"/>
      <c r="V337" s="496"/>
      <c r="W337" s="496"/>
      <c r="X337" s="496"/>
      <c r="Y337" s="496"/>
      <c r="Z337" s="496"/>
      <c r="AA337" s="496"/>
      <c r="AB337" s="496"/>
      <c r="AC337" s="496"/>
      <c r="AD337" s="496"/>
      <c r="AE337" s="496"/>
      <c r="AF337" s="496"/>
      <c r="AG337" s="496"/>
      <c r="AH337" s="496"/>
      <c r="AI337" s="496"/>
      <c r="AJ337" s="496"/>
      <c r="AK337" s="496"/>
      <c r="AL337" s="496"/>
      <c r="AM337" s="496"/>
      <c r="AN337" s="496"/>
      <c r="AO337" s="496"/>
      <c r="AP337" s="496"/>
      <c r="AQ337" s="496"/>
      <c r="AR337" s="496"/>
      <c r="AS337" s="496"/>
      <c r="AT337" s="496"/>
      <c r="AU337" s="496"/>
      <c r="AV337" s="496"/>
      <c r="AW337" s="496"/>
      <c r="AX337" s="496"/>
      <c r="AY337" s="496"/>
      <c r="AZ337" s="496"/>
      <c r="BA337" s="496"/>
      <c r="BB337" s="496"/>
      <c r="BC337" s="496"/>
      <c r="BD337" s="496"/>
      <c r="BE337" s="496"/>
      <c r="BF337" s="496"/>
      <c r="BG337" s="496"/>
      <c r="BH337" s="496"/>
      <c r="BI337" s="496"/>
      <c r="BJ337" s="496"/>
      <c r="BK337" s="496"/>
      <c r="BL337" s="496"/>
      <c r="BM337" s="496"/>
      <c r="BN337" s="496"/>
      <c r="BO337" s="496"/>
      <c r="BP337" s="496"/>
      <c r="BQ337" s="496"/>
      <c r="BR337" s="496"/>
      <c r="BS337" s="496"/>
      <c r="BT337" s="496"/>
      <c r="BU337" s="496"/>
      <c r="BV337" s="496"/>
      <c r="BW337" s="496"/>
      <c r="BX337" s="496"/>
      <c r="BY337" s="496"/>
      <c r="BZ337" s="496"/>
      <c r="CA337" s="496"/>
    </row>
    <row r="338" spans="7:79">
      <c r="G338" s="496"/>
      <c r="H338" s="496"/>
      <c r="I338" s="496"/>
      <c r="J338" s="496"/>
      <c r="K338" s="496"/>
      <c r="L338" s="496"/>
      <c r="M338" s="496"/>
      <c r="N338" s="496"/>
      <c r="O338" s="496"/>
      <c r="P338" s="496"/>
      <c r="Q338" s="496"/>
      <c r="R338" s="496"/>
      <c r="S338" s="496"/>
      <c r="T338" s="496"/>
      <c r="U338" s="496"/>
      <c r="V338" s="496"/>
      <c r="W338" s="496"/>
      <c r="X338" s="496"/>
      <c r="Y338" s="496"/>
      <c r="Z338" s="496"/>
      <c r="AA338" s="496"/>
      <c r="AB338" s="496"/>
      <c r="AC338" s="496"/>
      <c r="AD338" s="496"/>
      <c r="AE338" s="496"/>
      <c r="AF338" s="496"/>
      <c r="AG338" s="496"/>
      <c r="AH338" s="496"/>
      <c r="AI338" s="496"/>
      <c r="AJ338" s="496"/>
      <c r="AK338" s="496"/>
      <c r="AL338" s="496"/>
      <c r="AM338" s="496"/>
      <c r="AN338" s="496"/>
      <c r="AO338" s="496"/>
      <c r="AP338" s="496"/>
      <c r="AQ338" s="496"/>
      <c r="AR338" s="496"/>
      <c r="AS338" s="496"/>
      <c r="AT338" s="496"/>
      <c r="AU338" s="496"/>
      <c r="AV338" s="496"/>
      <c r="AW338" s="496"/>
      <c r="AX338" s="496"/>
      <c r="AY338" s="496"/>
      <c r="AZ338" s="496"/>
      <c r="BA338" s="496"/>
      <c r="BB338" s="496"/>
      <c r="BC338" s="496"/>
      <c r="BD338" s="496"/>
      <c r="BE338" s="496"/>
      <c r="BF338" s="496"/>
      <c r="BG338" s="496"/>
      <c r="BH338" s="496"/>
      <c r="BI338" s="496"/>
      <c r="BJ338" s="496"/>
      <c r="BK338" s="496"/>
      <c r="BL338" s="496"/>
      <c r="BM338" s="496"/>
      <c r="BN338" s="496"/>
      <c r="BO338" s="496"/>
      <c r="BP338" s="496"/>
      <c r="BQ338" s="496"/>
      <c r="BR338" s="496"/>
      <c r="BS338" s="496"/>
      <c r="BT338" s="496"/>
      <c r="BU338" s="496"/>
      <c r="BV338" s="496"/>
      <c r="BW338" s="496"/>
      <c r="BX338" s="496"/>
      <c r="BY338" s="496"/>
      <c r="BZ338" s="496"/>
      <c r="CA338" s="496"/>
    </row>
    <row r="339" spans="7:79">
      <c r="G339" s="496"/>
      <c r="H339" s="496"/>
      <c r="I339" s="496"/>
      <c r="J339" s="496"/>
      <c r="K339" s="496"/>
      <c r="L339" s="496"/>
      <c r="M339" s="496"/>
      <c r="N339" s="496"/>
      <c r="O339" s="496"/>
      <c r="P339" s="496"/>
      <c r="Q339" s="496"/>
      <c r="R339" s="496"/>
      <c r="S339" s="496"/>
      <c r="T339" s="496"/>
      <c r="U339" s="496"/>
      <c r="V339" s="496"/>
      <c r="W339" s="496"/>
      <c r="X339" s="496"/>
      <c r="Y339" s="496"/>
      <c r="Z339" s="496"/>
      <c r="AA339" s="496"/>
      <c r="AB339" s="496"/>
      <c r="AC339" s="496"/>
      <c r="AD339" s="496"/>
      <c r="AE339" s="496"/>
      <c r="AF339" s="496"/>
      <c r="AG339" s="496"/>
      <c r="AH339" s="496"/>
      <c r="AI339" s="496"/>
      <c r="AJ339" s="496"/>
      <c r="AK339" s="496"/>
      <c r="AL339" s="496"/>
      <c r="AM339" s="496"/>
      <c r="AN339" s="496"/>
      <c r="AO339" s="496"/>
      <c r="AP339" s="496"/>
      <c r="AQ339" s="496"/>
      <c r="AR339" s="496"/>
      <c r="AS339" s="496"/>
      <c r="AT339" s="496"/>
      <c r="AU339" s="496"/>
      <c r="AV339" s="496"/>
      <c r="AW339" s="496"/>
      <c r="AX339" s="496"/>
      <c r="AY339" s="496"/>
      <c r="AZ339" s="496"/>
      <c r="BA339" s="496"/>
      <c r="BB339" s="496"/>
      <c r="BC339" s="496"/>
      <c r="BD339" s="496"/>
      <c r="BE339" s="496"/>
      <c r="BF339" s="496"/>
      <c r="BG339" s="496"/>
      <c r="BH339" s="496"/>
      <c r="BI339" s="496"/>
      <c r="BJ339" s="496"/>
      <c r="BK339" s="496"/>
      <c r="BL339" s="496"/>
      <c r="BM339" s="496"/>
      <c r="BN339" s="496"/>
      <c r="BO339" s="496"/>
      <c r="BP339" s="496"/>
      <c r="BQ339" s="496"/>
      <c r="BR339" s="496"/>
      <c r="BS339" s="496"/>
      <c r="BT339" s="496"/>
      <c r="BU339" s="496"/>
      <c r="BV339" s="496"/>
      <c r="BW339" s="496"/>
      <c r="BX339" s="496"/>
      <c r="BY339" s="496"/>
      <c r="BZ339" s="496"/>
      <c r="CA339" s="496"/>
    </row>
  </sheetData>
  <sheetProtection password="F7EB" sheet="1" objects="1" scenarios="1"/>
  <mergeCells count="38">
    <mergeCell ref="BO199:BR199"/>
    <mergeCell ref="BO205:BR205"/>
    <mergeCell ref="E20:F20"/>
    <mergeCell ref="A1:F1"/>
    <mergeCell ref="H1:I1"/>
    <mergeCell ref="H2:I2"/>
    <mergeCell ref="H3:I3"/>
    <mergeCell ref="H4:I4"/>
    <mergeCell ref="H5:I5"/>
    <mergeCell ref="H6:I6"/>
    <mergeCell ref="A8:B8"/>
    <mergeCell ref="C8:D8"/>
    <mergeCell ref="E12:E13"/>
    <mergeCell ref="F12:F13"/>
    <mergeCell ref="A22:B22"/>
    <mergeCell ref="E25:F25"/>
    <mergeCell ref="E21:F21"/>
    <mergeCell ref="AK54:AK55"/>
    <mergeCell ref="T59:W59"/>
    <mergeCell ref="AA50:AA53"/>
    <mergeCell ref="AE50:AE53"/>
    <mergeCell ref="AF50:AF53"/>
    <mergeCell ref="T65:W65"/>
    <mergeCell ref="AA67:AD67"/>
    <mergeCell ref="AJ50:AJ53"/>
    <mergeCell ref="AK50:AK53"/>
    <mergeCell ref="AA54:AA55"/>
    <mergeCell ref="AB54:AB55"/>
    <mergeCell ref="AC54:AC55"/>
    <mergeCell ref="AE54:AE55"/>
    <mergeCell ref="AF54:AF55"/>
    <mergeCell ref="AG54:AG55"/>
    <mergeCell ref="AI54:AI55"/>
    <mergeCell ref="AJ54:AJ55"/>
    <mergeCell ref="AB50:AB53"/>
    <mergeCell ref="AC50:AC53"/>
    <mergeCell ref="AG50:AG53"/>
    <mergeCell ref="AI50:AI53"/>
  </mergeCells>
  <conditionalFormatting sqref="A18:B19">
    <cfRule type="expression" dxfId="5" priority="1">
      <formula>$B$4="Package Policy"</formula>
    </cfRule>
  </conditionalFormatting>
  <dataValidations count="9">
    <dataValidation type="list" operator="equal" allowBlank="1" sqref="N71">
      <formula1>"&lt;5,5 to 7,&gt;7"</formula1>
      <formula2>0</formula2>
    </dataValidation>
    <dataValidation operator="equal" allowBlank="1" showErrorMessage="1" promptTitle="When Cover B is Selected &quot;IMT 23 Required&quot;? should be &quot;Yes&quot;" prompt="=IF(AND(B8=&quot;B&quot;;D4=&quot;YES&quot;))" sqref="D6">
      <formula1>0</formula1>
      <formula2>0</formula2>
    </dataValidation>
    <dataValidation type="list" operator="equal" allowBlank="1" showErrorMessage="1" sqref="B6">
      <formula1>"0,20,25,35,45,50"</formula1>
      <formula2>0</formula2>
    </dataValidation>
    <dataValidation type="whole" operator="lessThanOrEqual" allowBlank="1" showInputMessage="1" showErrorMessage="1" errorTitle="Invalid Input" error="Please Enter a Number Less than or Equal to 6. For carrying capacity greater than 6 Plz use PCV Nil Dep &gt;6 Sheet." sqref="D4">
      <formula1>6</formula1>
      <formula2>0</formula2>
    </dataValidation>
    <dataValidation type="list" operator="equal" allowBlank="1" showErrorMessage="1" sqref="B5">
      <formula1>INDIRECT(AY209)</formula1>
    </dataValidation>
    <dataValidation type="list" operator="equal" allowBlank="1" showErrorMessage="1" sqref="F3 F6 D5">
      <formula1>"Yes,No"</formula1>
      <formula2>0</formula2>
    </dataValidation>
    <dataValidation type="list" operator="equal" allowBlank="1" showErrorMessage="1" sqref="B3">
      <formula1>"Zone A,Zone B,"</formula1>
      <formula2>0</formula2>
    </dataValidation>
    <dataValidation type="list" operator="equal" allowBlank="1" showErrorMessage="1" sqref="D2">
      <formula1>"&lt;1000,1000-1500,&gt;1500"</formula1>
      <formula2>0</formula2>
    </dataValidation>
    <dataValidation type="list" operator="equal" allowBlank="1" showErrorMessage="1" sqref="B4">
      <formula1>"Package Policy, Enhancement Policy"</formula1>
    </dataValidation>
  </dataValidations>
  <hyperlinks>
    <hyperlink ref="H1" location="Motor Home Page!a1" display="Motor Home Page"/>
  </hyperlinks>
  <pageMargins left="0.78740157480314965" right="0.78740157480314965" top="1.0236220472440944" bottom="1.0236220472440944" header="0.78740157480314965" footer="0.78740157480314965"/>
  <pageSetup scale="85" firstPageNumber="0" orientation="landscape" horizontalDpi="300" verticalDpi="300" r:id="rId1"/>
  <headerFooter alignWithMargins="0">
    <oddHeader>&amp;CDesigned By Prashanth Komarraju</oddHeader>
    <oddFooter>&amp;CPage &amp;P</oddFooter>
  </headerFooter>
  <rowBreaks count="1" manualBreakCount="1">
    <brk id="28" max="16383" man="1"/>
  </rowBreaks>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69"/>
  <sheetViews>
    <sheetView zoomScaleNormal="100" zoomScaleSheetLayoutView="33" workbookViewId="0">
      <selection activeCell="D8" sqref="D8"/>
    </sheetView>
  </sheetViews>
  <sheetFormatPr defaultColWidth="9.42578125" defaultRowHeight="15"/>
  <cols>
    <col min="1" max="1" width="22.42578125" style="5" customWidth="1"/>
    <col min="2" max="2" width="23.5703125" style="5" customWidth="1"/>
    <col min="3" max="3" width="25.7109375" style="5" customWidth="1"/>
    <col min="4" max="4" width="16.28515625" style="5" customWidth="1"/>
    <col min="5" max="5" width="33.42578125" style="5" customWidth="1"/>
    <col min="6" max="6" width="17.42578125" style="5" customWidth="1"/>
    <col min="7" max="7" width="22" style="5" customWidth="1"/>
    <col min="8" max="8" width="10.28515625" style="5" customWidth="1"/>
    <col min="9" max="9" width="9.42578125" style="5"/>
    <col min="10" max="10" width="24.42578125" style="5" customWidth="1"/>
    <col min="11" max="31" width="9.42578125" style="5"/>
    <col min="32" max="32" width="4.42578125" style="5" customWidth="1"/>
    <col min="33" max="35" width="9.42578125" style="5"/>
    <col min="36" max="36" width="3.7109375" style="5" customWidth="1"/>
    <col min="37" max="16384" width="9.42578125" style="5"/>
  </cols>
  <sheetData>
    <row r="1" spans="1:8" s="7" customFormat="1" ht="29.25" customHeight="1">
      <c r="A1" s="1065" t="s">
        <v>3</v>
      </c>
      <c r="B1" s="1065"/>
      <c r="C1" s="1065"/>
      <c r="D1" s="1065"/>
      <c r="E1" s="1065"/>
      <c r="F1" s="1065"/>
      <c r="G1" s="431"/>
    </row>
    <row r="2" spans="1:8" ht="29.25" customHeight="1">
      <c r="A2" s="432" t="s">
        <v>6</v>
      </c>
      <c r="B2" s="433">
        <v>313310</v>
      </c>
      <c r="C2" s="432" t="s">
        <v>149</v>
      </c>
      <c r="D2" s="433">
        <v>60</v>
      </c>
      <c r="E2" s="392" t="s">
        <v>413</v>
      </c>
      <c r="F2" s="364" t="s">
        <v>50</v>
      </c>
      <c r="G2" s="434" t="s">
        <v>212</v>
      </c>
      <c r="H2" s="433" t="s">
        <v>14</v>
      </c>
    </row>
    <row r="3" spans="1:8" ht="42" customHeight="1">
      <c r="A3" s="432" t="s">
        <v>148</v>
      </c>
      <c r="B3" s="435" t="s">
        <v>11</v>
      </c>
      <c r="C3" s="436" t="s">
        <v>152</v>
      </c>
      <c r="D3" s="433" t="s">
        <v>14</v>
      </c>
      <c r="E3" s="434" t="s">
        <v>211</v>
      </c>
      <c r="F3" s="433">
        <v>0</v>
      </c>
      <c r="G3" s="437" t="s">
        <v>214</v>
      </c>
      <c r="H3" s="433">
        <v>60000</v>
      </c>
    </row>
    <row r="4" spans="1:8" ht="37.5" customHeight="1">
      <c r="A4" s="815" t="s">
        <v>512</v>
      </c>
      <c r="B4" s="816" t="s">
        <v>569</v>
      </c>
      <c r="C4" s="436" t="s">
        <v>164</v>
      </c>
      <c r="D4" s="433">
        <v>1</v>
      </c>
      <c r="E4" s="434" t="s">
        <v>150</v>
      </c>
      <c r="F4" s="433" t="s">
        <v>50</v>
      </c>
      <c r="G4" s="439" t="s">
        <v>196</v>
      </c>
      <c r="H4" s="440" t="s">
        <v>294</v>
      </c>
    </row>
    <row r="5" spans="1:8" ht="32.85" customHeight="1">
      <c r="A5" s="436" t="s">
        <v>151</v>
      </c>
      <c r="B5" s="438" t="s">
        <v>195</v>
      </c>
      <c r="C5" s="436" t="s">
        <v>18</v>
      </c>
      <c r="D5" s="441" t="s">
        <v>94</v>
      </c>
      <c r="E5" s="437" t="s">
        <v>153</v>
      </c>
      <c r="F5" s="442">
        <v>1</v>
      </c>
      <c r="G5" s="443"/>
      <c r="H5" s="433"/>
    </row>
    <row r="6" spans="1:8" ht="30.95" customHeight="1" thickBot="1">
      <c r="A6" s="432" t="s">
        <v>154</v>
      </c>
      <c r="B6" s="435">
        <v>25</v>
      </c>
      <c r="C6" s="605" t="s">
        <v>520</v>
      </c>
      <c r="D6" s="164">
        <v>20000</v>
      </c>
      <c r="E6" s="432" t="s">
        <v>521</v>
      </c>
      <c r="F6" s="433" t="s">
        <v>50</v>
      </c>
      <c r="G6" s="396"/>
      <c r="H6" s="396"/>
    </row>
    <row r="7" spans="1:8" ht="20.25" customHeight="1">
      <c r="A7" s="1066" t="s">
        <v>155</v>
      </c>
      <c r="B7" s="1066"/>
      <c r="C7" s="1067" t="s">
        <v>156</v>
      </c>
      <c r="D7" s="1067"/>
      <c r="E7" s="425"/>
      <c r="F7" s="425"/>
      <c r="G7" s="444"/>
      <c r="H7" s="444"/>
    </row>
    <row r="8" spans="1:8" ht="28.5" customHeight="1">
      <c r="A8" s="445" t="s">
        <v>23</v>
      </c>
      <c r="B8" s="446">
        <f>IF(B4="Package Policy",Q65,Q64)</f>
        <v>1.6720000000000002</v>
      </c>
      <c r="C8" s="447" t="s">
        <v>158</v>
      </c>
      <c r="D8" s="906">
        <v>14494</v>
      </c>
      <c r="E8" s="872" t="s">
        <v>625</v>
      </c>
      <c r="F8" s="86"/>
      <c r="G8" s="1068" t="s">
        <v>215</v>
      </c>
      <c r="H8" s="1068"/>
    </row>
    <row r="9" spans="1:8" ht="27.75" thickBot="1">
      <c r="A9" s="445" t="s">
        <v>513</v>
      </c>
      <c r="B9" s="606">
        <f>B8*(1-D2%)</f>
        <v>0.66880000000000006</v>
      </c>
      <c r="C9" s="450" t="s">
        <v>160</v>
      </c>
      <c r="D9" s="448">
        <f>IF($F$4="yes",275,0)</f>
        <v>0</v>
      </c>
      <c r="E9" s="425"/>
      <c r="F9" s="425"/>
      <c r="G9" s="358"/>
      <c r="H9" s="451"/>
    </row>
    <row r="10" spans="1:8" ht="27.2" customHeight="1">
      <c r="A10" s="449" t="s">
        <v>216</v>
      </c>
      <c r="B10" s="607">
        <f>IF($D$4&gt;60,680*(1-D2%),IF($D$4&gt;36,550*(1-D2%),IF($D$4&gt;18,450*(1-D2%),IF($D$4&gt;6,350*(1-D2%),0))))</f>
        <v>0</v>
      </c>
      <c r="C10" s="450" t="s">
        <v>415</v>
      </c>
      <c r="D10" s="409">
        <f>IF(AND(F2="No",F3=0),0,60)</f>
        <v>0</v>
      </c>
      <c r="E10" s="454"/>
      <c r="F10" s="425"/>
      <c r="G10" s="1069" t="s">
        <v>452</v>
      </c>
      <c r="H10" s="1069"/>
    </row>
    <row r="11" spans="1:8" ht="30" customHeight="1">
      <c r="A11" s="452" t="s">
        <v>217</v>
      </c>
      <c r="B11" s="453">
        <f>ROUNDUP($B$2*$B$9%,0)</f>
        <v>2096</v>
      </c>
      <c r="C11" s="450" t="s">
        <v>219</v>
      </c>
      <c r="D11" s="448">
        <f>$F$5*50</f>
        <v>50</v>
      </c>
      <c r="E11" s="1063" t="s">
        <v>163</v>
      </c>
      <c r="F11" s="1064">
        <f>SUM($D$14:$D$15)</f>
        <v>22809.862499999999</v>
      </c>
      <c r="G11" s="1061" t="s">
        <v>15</v>
      </c>
      <c r="H11" s="1061"/>
    </row>
    <row r="12" spans="1:8" ht="21" customHeight="1">
      <c r="A12" s="445" t="s">
        <v>218</v>
      </c>
      <c r="B12" s="455">
        <f>$B$10+$B$11</f>
        <v>2096</v>
      </c>
      <c r="C12" s="450" t="s">
        <v>164</v>
      </c>
      <c r="D12" s="448">
        <f>IF(D8=13874,$D$4*848,D4*886)</f>
        <v>886</v>
      </c>
      <c r="E12" s="1063"/>
      <c r="F12" s="1064"/>
      <c r="G12" s="1061" t="s">
        <v>632</v>
      </c>
      <c r="H12" s="1061"/>
    </row>
    <row r="13" spans="1:8" ht="28.5" customHeight="1">
      <c r="A13" s="456" t="s">
        <v>221</v>
      </c>
      <c r="B13" s="457">
        <f>$H$3*0.04*(1-D2%)</f>
        <v>960</v>
      </c>
      <c r="C13" s="458" t="s">
        <v>166</v>
      </c>
      <c r="D13" s="459">
        <f>SUM($D$8:$D$12)</f>
        <v>15430</v>
      </c>
      <c r="E13" s="123"/>
      <c r="F13" s="425"/>
      <c r="G13" s="1061" t="s">
        <v>483</v>
      </c>
      <c r="H13" s="1061"/>
    </row>
    <row r="14" spans="1:8" ht="27.2" customHeight="1">
      <c r="A14" s="456" t="s">
        <v>161</v>
      </c>
      <c r="B14" s="460">
        <f>IF(F2="Yes",ROUNDUP((B12+B13)*0.05,0),ROUNDUP(F3*0.04*(1-D2%),0))</f>
        <v>0</v>
      </c>
      <c r="C14" s="450" t="s">
        <v>33</v>
      </c>
      <c r="D14" s="776">
        <f>$D$13+$B$23</f>
        <v>19329.862499999999</v>
      </c>
      <c r="E14" s="1062"/>
      <c r="F14" s="1062"/>
      <c r="G14" s="875"/>
      <c r="H14" s="875"/>
    </row>
    <row r="15" spans="1:8" ht="16.5">
      <c r="A15" s="445" t="s">
        <v>220</v>
      </c>
      <c r="B15" s="455">
        <f>IF(H2="Yes",125,0)</f>
        <v>125</v>
      </c>
      <c r="C15" s="461" t="s">
        <v>169</v>
      </c>
      <c r="D15" s="777">
        <f>ROUNDUP($D$14*'Motor Home Page'!N1%,0)</f>
        <v>3480</v>
      </c>
      <c r="E15" s="641"/>
      <c r="F15" s="642"/>
      <c r="G15" s="876"/>
      <c r="H15" s="877"/>
    </row>
    <row r="16" spans="1:8" ht="28.5">
      <c r="A16" s="608" t="s">
        <v>469</v>
      </c>
      <c r="B16" s="606">
        <f>0.075*D6</f>
        <v>1500</v>
      </c>
      <c r="C16" s="17"/>
      <c r="D16" s="17"/>
      <c r="E16" s="643"/>
      <c r="F16" s="642"/>
      <c r="G16" s="444"/>
      <c r="H16" s="17"/>
    </row>
    <row r="17" spans="1:8">
      <c r="A17" s="449" t="s">
        <v>167</v>
      </c>
      <c r="B17" s="462">
        <f>IF($D$3="yes",0.15*(B12+B13+B14+B15),0)</f>
        <v>477.15</v>
      </c>
      <c r="C17" s="127"/>
      <c r="D17" s="127"/>
      <c r="E17" s="104"/>
      <c r="F17" s="104"/>
      <c r="G17" s="444"/>
      <c r="H17" s="17"/>
    </row>
    <row r="18" spans="1:8" ht="15" customHeight="1">
      <c r="A18" s="445" t="s">
        <v>522</v>
      </c>
      <c r="B18" s="615">
        <f>IF(F6="Yes",IF(2.5%*(B11+B13+B14+B15+B16+B17)&gt;500,500,2.5%*(B11+B13+B14+B15+B16+B17)),0)</f>
        <v>0</v>
      </c>
      <c r="C18" s="17"/>
      <c r="D18" s="17"/>
      <c r="E18" s="104"/>
      <c r="F18" s="104"/>
      <c r="G18" s="444"/>
      <c r="H18" s="17"/>
    </row>
    <row r="19" spans="1:8" ht="23.25" customHeight="1">
      <c r="A19" s="452" t="s">
        <v>12</v>
      </c>
      <c r="B19" s="463">
        <f>$B$6%*(B12+B13+B16+B14+B17)</f>
        <v>1258.2874999999999</v>
      </c>
      <c r="C19" s="17"/>
      <c r="D19" s="17"/>
      <c r="E19" s="104"/>
      <c r="F19" s="775"/>
      <c r="G19" s="444"/>
      <c r="H19" s="17"/>
    </row>
    <row r="20" spans="1:8" ht="15.75" customHeight="1">
      <c r="A20" s="452" t="s">
        <v>198</v>
      </c>
      <c r="B20" s="463">
        <f>B12+B13+B14+B15+B16+B17-B18-B19</f>
        <v>3899.8624999999997</v>
      </c>
      <c r="C20" s="86"/>
      <c r="D20" s="86"/>
      <c r="E20" s="1044"/>
      <c r="F20" s="1044"/>
      <c r="G20" s="444"/>
      <c r="H20" s="17"/>
    </row>
    <row r="21" spans="1:8" ht="19.5" customHeight="1">
      <c r="A21" s="452" t="s">
        <v>85</v>
      </c>
      <c r="B21" s="464">
        <f>IF(D5="&lt;=1500",Q90,IF(D5="&gt;1500",Q91))</f>
        <v>0</v>
      </c>
      <c r="C21" s="428"/>
      <c r="D21" s="428"/>
      <c r="E21" s="1042"/>
      <c r="F21" s="1042"/>
      <c r="G21" s="17"/>
      <c r="H21" s="17"/>
    </row>
    <row r="22" spans="1:8" ht="20.25" customHeight="1">
      <c r="A22" s="452" t="s">
        <v>86</v>
      </c>
      <c r="B22" s="463">
        <f>B21%*B2</f>
        <v>0</v>
      </c>
      <c r="C22" s="132"/>
      <c r="D22" s="132"/>
      <c r="E22" s="636"/>
      <c r="F22" s="367"/>
      <c r="G22" s="396"/>
    </row>
    <row r="23" spans="1:8" ht="18.75" customHeight="1">
      <c r="A23" s="465" t="s">
        <v>35</v>
      </c>
      <c r="B23" s="466">
        <f>B20+B22</f>
        <v>3899.8624999999997</v>
      </c>
      <c r="C23" s="132"/>
      <c r="D23" s="132"/>
      <c r="E23" s="636"/>
      <c r="F23" s="637"/>
      <c r="G23" s="396"/>
    </row>
    <row r="24" spans="1:8" ht="15.75">
      <c r="C24" s="132"/>
      <c r="D24" s="132"/>
      <c r="E24" s="638"/>
      <c r="F24" s="639"/>
      <c r="G24" s="396"/>
    </row>
    <row r="25" spans="1:8" ht="30.95" customHeight="1">
      <c r="A25" s="778"/>
      <c r="B25" s="106"/>
      <c r="C25" s="425"/>
      <c r="D25" s="86"/>
      <c r="E25" s="1056"/>
      <c r="F25" s="1056"/>
      <c r="G25" s="396"/>
    </row>
    <row r="26" spans="1:8" ht="33" customHeight="1">
      <c r="A26" s="779"/>
      <c r="B26" s="779"/>
      <c r="C26" s="425"/>
      <c r="D26" s="86"/>
      <c r="E26" s="640"/>
      <c r="F26" s="367"/>
    </row>
    <row r="27" spans="1:8" ht="39.75" customHeight="1">
      <c r="A27" s="646"/>
      <c r="B27" s="646"/>
      <c r="C27" s="159"/>
      <c r="D27" s="426"/>
      <c r="E27" s="592"/>
      <c r="F27" s="775"/>
    </row>
    <row r="28" spans="1:8">
      <c r="A28" s="773"/>
      <c r="B28" s="773"/>
      <c r="C28" s="160"/>
      <c r="D28" s="132"/>
      <c r="E28" s="132"/>
      <c r="F28" s="425"/>
    </row>
    <row r="29" spans="1:8" ht="15.4" customHeight="1">
      <c r="A29" s="358"/>
      <c r="B29" s="358"/>
      <c r="C29" s="132"/>
      <c r="D29" s="428"/>
      <c r="E29" s="428"/>
      <c r="F29" s="425"/>
      <c r="G29" s="136"/>
    </row>
    <row r="30" spans="1:8" ht="17.25" customHeight="1">
      <c r="A30" s="425"/>
      <c r="B30" s="425"/>
      <c r="C30" s="425"/>
      <c r="D30" s="132"/>
      <c r="E30" s="132"/>
      <c r="F30" s="86"/>
      <c r="G30" s="136"/>
    </row>
    <row r="31" spans="1:8">
      <c r="A31" s="358"/>
      <c r="B31" s="358"/>
      <c r="C31" s="358"/>
      <c r="D31" s="86"/>
      <c r="E31" s="86"/>
      <c r="F31" s="86"/>
      <c r="G31" s="136"/>
    </row>
    <row r="32" spans="1:8">
      <c r="A32" s="358"/>
      <c r="B32" s="358"/>
      <c r="C32" s="358"/>
      <c r="D32" s="425"/>
      <c r="E32" s="425"/>
      <c r="F32" s="86"/>
      <c r="G32" s="136"/>
    </row>
    <row r="33" spans="1:55">
      <c r="A33" s="425"/>
      <c r="B33" s="426"/>
      <c r="C33" s="426"/>
      <c r="D33" s="426"/>
      <c r="E33" s="426"/>
      <c r="F33" s="86"/>
      <c r="J33" s="496"/>
      <c r="K33" s="496"/>
      <c r="L33" s="496"/>
      <c r="M33" s="496"/>
      <c r="N33" s="496"/>
      <c r="O33" s="496"/>
      <c r="P33" s="496"/>
      <c r="Q33" s="496"/>
      <c r="R33" s="496"/>
      <c r="S33" s="496"/>
      <c r="T33" s="496"/>
      <c r="U33" s="496"/>
      <c r="V33" s="496"/>
      <c r="W33" s="496"/>
      <c r="X33" s="496"/>
      <c r="Y33" s="496"/>
      <c r="Z33" s="496"/>
    </row>
    <row r="34" spans="1:55" ht="27.75" customHeight="1">
      <c r="A34" s="131"/>
      <c r="B34" s="428"/>
      <c r="C34" s="428"/>
      <c r="D34" s="428"/>
      <c r="E34" s="428"/>
      <c r="F34" s="86"/>
      <c r="J34" s="496"/>
      <c r="K34" s="496">
        <f>IF(H5="Yes",70,60)</f>
        <v>60</v>
      </c>
      <c r="L34" s="496" t="s">
        <v>484</v>
      </c>
      <c r="M34" s="496" t="str">
        <f>CONCATENATE(K34,L34)</f>
        <v>60% of (Basic + Addon)</v>
      </c>
      <c r="N34" s="496"/>
      <c r="O34" s="496"/>
      <c r="P34" s="496"/>
      <c r="Q34" s="496"/>
      <c r="R34" s="496"/>
      <c r="S34" s="496"/>
      <c r="T34" s="496"/>
      <c r="U34" s="496"/>
      <c r="V34" s="496"/>
      <c r="W34" s="496"/>
      <c r="X34" s="496"/>
      <c r="Y34" s="496"/>
      <c r="Z34" s="496"/>
    </row>
    <row r="35" spans="1:55" ht="15.75">
      <c r="A35" s="427"/>
      <c r="B35" s="429"/>
      <c r="C35" s="429"/>
      <c r="D35" s="429"/>
      <c r="E35" s="428"/>
      <c r="F35" s="86"/>
      <c r="J35" s="496"/>
      <c r="K35" s="496"/>
      <c r="L35" s="496"/>
      <c r="M35" s="496"/>
      <c r="N35" s="496"/>
      <c r="O35" s="496"/>
      <c r="P35" s="496"/>
      <c r="Q35" s="496"/>
      <c r="R35" s="496"/>
      <c r="S35" s="496"/>
      <c r="T35" s="496"/>
      <c r="U35" s="496"/>
      <c r="V35" s="496"/>
      <c r="W35" s="496"/>
      <c r="X35" s="496"/>
      <c r="Y35" s="496"/>
      <c r="Z35" s="496"/>
    </row>
    <row r="36" spans="1:55" ht="15.75">
      <c r="A36" s="131"/>
      <c r="B36" s="429"/>
      <c r="C36" s="428"/>
      <c r="D36" s="428"/>
      <c r="E36" s="428"/>
      <c r="F36" s="86"/>
      <c r="G36" s="136"/>
      <c r="J36" s="496"/>
      <c r="K36" s="494" t="s">
        <v>473</v>
      </c>
      <c r="L36" s="495">
        <f>ROUND(B23-F26,0)</f>
        <v>3900</v>
      </c>
      <c r="M36" s="496"/>
      <c r="N36" s="496"/>
      <c r="O36" s="496"/>
      <c r="P36" s="496"/>
      <c r="Q36" s="496"/>
      <c r="R36" s="496"/>
      <c r="S36" s="496"/>
      <c r="T36" s="496"/>
      <c r="U36" s="496"/>
      <c r="V36" s="496"/>
      <c r="W36" s="496"/>
      <c r="X36" s="496"/>
      <c r="Y36" s="496"/>
      <c r="Z36" s="496"/>
    </row>
    <row r="37" spans="1:55" ht="15.75" customHeight="1">
      <c r="A37" s="427"/>
      <c r="B37" s="132"/>
      <c r="C37" s="132"/>
      <c r="D37" s="132"/>
      <c r="E37" s="86"/>
      <c r="F37" s="86"/>
      <c r="G37" s="136"/>
      <c r="J37" s="496"/>
      <c r="K37" s="494" t="str">
        <f>CONCATENATE(K36,L36)</f>
        <v>You still have a cushion / buffer of Rs. 3900</v>
      </c>
      <c r="L37" s="494"/>
      <c r="M37" s="496"/>
      <c r="N37" s="496"/>
      <c r="O37" s="496"/>
      <c r="P37" s="496"/>
      <c r="Q37" s="496"/>
      <c r="R37" s="496"/>
      <c r="S37" s="496"/>
      <c r="T37" s="496"/>
      <c r="U37" s="496"/>
      <c r="V37" s="496"/>
      <c r="W37" s="496"/>
      <c r="X37" s="496"/>
      <c r="Y37" s="496"/>
      <c r="Z37" s="496"/>
    </row>
    <row r="38" spans="1:55" ht="15.75">
      <c r="A38" s="131"/>
      <c r="B38" s="428"/>
      <c r="C38" s="428"/>
      <c r="D38" s="428"/>
      <c r="E38" s="86"/>
      <c r="F38" s="86"/>
      <c r="G38" s="136"/>
      <c r="J38" s="496"/>
      <c r="K38" s="494" t="s">
        <v>474</v>
      </c>
      <c r="L38" s="494"/>
      <c r="M38" s="496"/>
      <c r="N38" s="496"/>
      <c r="O38" s="496"/>
      <c r="P38" s="496"/>
      <c r="Q38" s="496"/>
      <c r="R38" s="496"/>
      <c r="S38" s="496"/>
      <c r="T38" s="496"/>
      <c r="U38" s="496"/>
      <c r="V38" s="496"/>
      <c r="W38" s="496"/>
      <c r="X38" s="496"/>
      <c r="Y38" s="496"/>
      <c r="Z38" s="496"/>
    </row>
    <row r="39" spans="1:55">
      <c r="A39" s="425"/>
      <c r="B39" s="132"/>
      <c r="C39" s="132"/>
      <c r="D39" s="132"/>
      <c r="E39" s="86"/>
      <c r="F39" s="86"/>
      <c r="G39" s="136"/>
      <c r="J39" s="496"/>
      <c r="K39" s="494" t="s">
        <v>475</v>
      </c>
      <c r="L39" s="494">
        <f>-(L36)</f>
        <v>-3900</v>
      </c>
      <c r="M39" s="494" t="s">
        <v>476</v>
      </c>
      <c r="N39" s="496"/>
      <c r="O39" s="496"/>
      <c r="P39" s="496"/>
      <c r="Q39" s="496"/>
      <c r="R39" s="496"/>
      <c r="S39" s="496"/>
      <c r="T39" s="496"/>
      <c r="U39" s="496"/>
      <c r="V39" s="496"/>
      <c r="W39" s="496"/>
      <c r="X39" s="496"/>
      <c r="Y39" s="496"/>
      <c r="Z39" s="496"/>
    </row>
    <row r="40" spans="1:55" ht="36.75" customHeight="1">
      <c r="A40" s="138"/>
      <c r="B40" s="86"/>
      <c r="C40" s="123"/>
      <c r="D40" s="123"/>
      <c r="E40" s="86"/>
      <c r="F40" s="86"/>
      <c r="J40" s="496"/>
      <c r="K40" s="494" t="str">
        <f>CONCATENATE(K39,L39,M39)</f>
        <v>You have crossed the maximum Discount by Rs. -3900. Kindly Reduce the disc %</v>
      </c>
      <c r="L40" s="494"/>
      <c r="M40" s="496"/>
      <c r="N40" s="496"/>
      <c r="O40" s="496"/>
      <c r="P40" s="496"/>
      <c r="Q40" s="496"/>
      <c r="R40" s="496"/>
      <c r="S40" s="496"/>
      <c r="T40" s="496"/>
      <c r="U40" s="496"/>
      <c r="V40" s="496"/>
      <c r="W40" s="496"/>
      <c r="X40" s="496"/>
      <c r="Y40" s="496"/>
      <c r="Z40" s="496"/>
    </row>
    <row r="41" spans="1:55" ht="22.5" customHeight="1">
      <c r="A41" s="425"/>
      <c r="B41" s="139"/>
      <c r="C41" s="139"/>
      <c r="D41" s="139"/>
      <c r="E41" s="86"/>
      <c r="F41" s="86"/>
      <c r="J41" s="496"/>
      <c r="K41" s="496"/>
      <c r="L41" s="496"/>
      <c r="M41" s="496"/>
      <c r="N41" s="496"/>
      <c r="O41" s="496"/>
      <c r="P41" s="496"/>
      <c r="Q41" s="496"/>
      <c r="R41" s="496"/>
      <c r="S41" s="496"/>
      <c r="T41" s="496"/>
      <c r="U41" s="496"/>
      <c r="V41" s="496"/>
      <c r="W41" s="496"/>
      <c r="X41" s="496"/>
      <c r="Y41" s="496"/>
      <c r="Z41" s="496"/>
    </row>
    <row r="42" spans="1:55" ht="18" customHeight="1">
      <c r="A42" s="131"/>
      <c r="B42" s="132"/>
      <c r="C42" s="132"/>
      <c r="D42" s="132"/>
      <c r="E42" s="86"/>
      <c r="F42" s="86"/>
      <c r="J42" s="496"/>
      <c r="K42" s="496"/>
      <c r="L42" s="496"/>
      <c r="M42" s="496"/>
      <c r="N42" s="496"/>
      <c r="O42" s="496"/>
      <c r="P42" s="496"/>
      <c r="Q42" s="496"/>
      <c r="R42" s="496"/>
      <c r="S42" s="496"/>
      <c r="T42" s="496"/>
      <c r="U42" s="496"/>
      <c r="V42" s="496"/>
      <c r="W42" s="496"/>
      <c r="X42" s="496"/>
      <c r="Y42" s="496"/>
      <c r="Z42" s="496"/>
    </row>
    <row r="43" spans="1:55" ht="2.25" customHeight="1">
      <c r="A43" s="427"/>
      <c r="B43" s="132"/>
      <c r="C43" s="132"/>
      <c r="D43" s="132"/>
      <c r="E43" s="86"/>
      <c r="F43" s="86"/>
    </row>
    <row r="44" spans="1:55" ht="15.75" hidden="1">
      <c r="A44" s="131"/>
      <c r="B44" s="132"/>
      <c r="C44" s="132"/>
      <c r="D44" s="132"/>
      <c r="E44" s="86"/>
      <c r="F44" s="86"/>
    </row>
    <row r="45" spans="1:55" ht="36.75" customHeight="1">
      <c r="O45" s="720"/>
      <c r="P45" s="720"/>
      <c r="Q45" s="720"/>
      <c r="R45" s="720"/>
      <c r="S45" s="720"/>
      <c r="T45" s="720"/>
      <c r="U45" s="720"/>
      <c r="V45" s="720"/>
      <c r="W45" s="720"/>
      <c r="X45" s="720"/>
      <c r="Y45" s="720"/>
      <c r="Z45" s="720"/>
      <c r="AA45" s="720"/>
      <c r="AB45" s="720"/>
      <c r="AC45" s="720"/>
      <c r="AD45" s="720"/>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row>
    <row r="46" spans="1:55">
      <c r="O46" s="720"/>
      <c r="P46" s="720"/>
      <c r="Q46" s="720"/>
      <c r="R46" s="720"/>
      <c r="S46" s="720"/>
      <c r="T46" s="720"/>
      <c r="U46" s="720"/>
      <c r="V46" s="720"/>
      <c r="W46" s="720"/>
      <c r="X46" s="720"/>
      <c r="Y46" s="720"/>
      <c r="Z46" s="720"/>
      <c r="AA46" s="720"/>
      <c r="AB46" s="720"/>
      <c r="AC46" s="720"/>
      <c r="AD46" s="720"/>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row>
    <row r="47" spans="1:55">
      <c r="O47" s="720"/>
      <c r="P47" s="720"/>
      <c r="Q47" s="720"/>
      <c r="R47" s="720"/>
      <c r="S47" s="720"/>
      <c r="T47" s="720"/>
      <c r="U47" s="720"/>
      <c r="V47" s="720"/>
      <c r="W47" s="720"/>
      <c r="X47" s="720"/>
      <c r="Y47" s="720"/>
      <c r="Z47" s="720"/>
      <c r="AA47" s="720"/>
      <c r="AB47" s="720"/>
      <c r="AC47" s="720"/>
      <c r="AD47" s="720"/>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row>
    <row r="48" spans="1:55">
      <c r="O48" s="720"/>
      <c r="P48" s="720"/>
      <c r="Q48" s="720"/>
      <c r="R48" s="720"/>
      <c r="S48" s="720"/>
      <c r="T48" s="720"/>
      <c r="U48" s="720"/>
      <c r="V48" s="720"/>
      <c r="W48" s="720"/>
      <c r="X48" s="720"/>
      <c r="Y48" s="720"/>
      <c r="Z48" s="720"/>
      <c r="AA48" s="720"/>
      <c r="AB48" s="720"/>
      <c r="AC48" s="720"/>
      <c r="AD48" s="720"/>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row>
    <row r="49" spans="15:55">
      <c r="O49" s="720"/>
      <c r="P49" s="720"/>
      <c r="Q49" s="720"/>
      <c r="R49" s="720"/>
      <c r="S49" s="720"/>
      <c r="T49" s="720"/>
      <c r="U49" s="720"/>
      <c r="V49" s="720"/>
      <c r="W49" s="720"/>
      <c r="X49" s="720"/>
      <c r="Y49" s="720"/>
      <c r="Z49" s="720"/>
      <c r="AA49" s="720"/>
      <c r="AB49" s="720"/>
      <c r="AC49" s="720"/>
      <c r="AD49" s="720"/>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row>
    <row r="50" spans="15:55" ht="12.95" customHeight="1">
      <c r="O50" s="720"/>
      <c r="P50" s="720"/>
      <c r="Q50" s="720"/>
      <c r="R50" s="720"/>
      <c r="S50" s="720"/>
      <c r="T50" s="720"/>
      <c r="U50" s="720"/>
      <c r="V50" s="720"/>
      <c r="W50" s="720"/>
      <c r="X50" s="720"/>
      <c r="Y50" s="720"/>
      <c r="Z50" s="728"/>
      <c r="AA50" s="1059" t="s">
        <v>222</v>
      </c>
      <c r="AB50" s="1059" t="s">
        <v>223</v>
      </c>
      <c r="AC50" s="1060" t="s">
        <v>224</v>
      </c>
      <c r="AD50" s="729" t="s">
        <v>225</v>
      </c>
      <c r="AE50" s="1057" t="s">
        <v>226</v>
      </c>
      <c r="AF50" s="1057" t="s">
        <v>227</v>
      </c>
      <c r="AG50" s="1058" t="s">
        <v>228</v>
      </c>
      <c r="AH50" s="467" t="s">
        <v>225</v>
      </c>
      <c r="AI50" s="1057" t="s">
        <v>229</v>
      </c>
      <c r="AJ50" s="1057" t="s">
        <v>230</v>
      </c>
      <c r="AK50" s="1058" t="s">
        <v>231</v>
      </c>
      <c r="AL50" s="467" t="s">
        <v>225</v>
      </c>
      <c r="AM50" s="49"/>
      <c r="AN50" s="49"/>
      <c r="AO50" s="49"/>
      <c r="AP50" s="49"/>
      <c r="AQ50" s="49"/>
      <c r="AR50" s="49"/>
      <c r="AS50" s="49"/>
      <c r="AT50" s="49"/>
      <c r="AU50" s="49"/>
      <c r="AV50" s="49"/>
      <c r="AW50" s="49"/>
      <c r="AX50" s="49"/>
      <c r="AY50" s="49"/>
      <c r="AZ50" s="49"/>
      <c r="BA50" s="49"/>
      <c r="BB50" s="49"/>
      <c r="BC50" s="49"/>
    </row>
    <row r="51" spans="15:55" ht="22.5">
      <c r="O51" s="720"/>
      <c r="P51" s="720" t="s">
        <v>17</v>
      </c>
      <c r="Q51" s="720"/>
      <c r="R51" s="720"/>
      <c r="S51" s="720"/>
      <c r="T51" s="720"/>
      <c r="U51" s="720">
        <f>IF(B3="zone a",VLOOKUP(X51,T52:W55,2),IF(B3="zone b",VLOOKUP(X51,T52:W55,3),IF(B3="zone c",VLOOKUP(X51,T52:W55,4),0)))</f>
        <v>1.756</v>
      </c>
      <c r="V51" s="720"/>
      <c r="W51" s="720"/>
      <c r="X51" s="720">
        <f>IF(B5="&lt;5",T53,IF(B5="5 to 7",T54,IF(B5="&gt;7",T55,0)))</f>
        <v>7.1</v>
      </c>
      <c r="Y51" s="720"/>
      <c r="Z51" s="728" t="s">
        <v>232</v>
      </c>
      <c r="AA51" s="1059"/>
      <c r="AB51" s="1059"/>
      <c r="AC51" s="1060"/>
      <c r="AD51" s="729" t="s">
        <v>233</v>
      </c>
      <c r="AE51" s="1057"/>
      <c r="AF51" s="1057"/>
      <c r="AG51" s="1058"/>
      <c r="AH51" s="467" t="s">
        <v>234</v>
      </c>
      <c r="AI51" s="1057"/>
      <c r="AJ51" s="1057"/>
      <c r="AK51" s="1058"/>
      <c r="AL51" s="467" t="s">
        <v>235</v>
      </c>
      <c r="AM51" s="49"/>
      <c r="AN51" s="49"/>
      <c r="AO51" s="49"/>
      <c r="AP51" s="49"/>
      <c r="AQ51" s="49"/>
      <c r="AR51" s="49"/>
      <c r="AS51" s="49"/>
      <c r="AT51" s="49"/>
      <c r="AU51" s="49"/>
      <c r="AV51" s="49"/>
      <c r="AW51" s="49"/>
      <c r="AX51" s="49"/>
      <c r="AY51" s="49"/>
      <c r="AZ51" s="49"/>
      <c r="BA51" s="49"/>
      <c r="BB51" s="49"/>
      <c r="BC51" s="49"/>
    </row>
    <row r="52" spans="15:55">
      <c r="O52" s="720"/>
      <c r="P52" s="720"/>
      <c r="Q52" s="730"/>
      <c r="R52" s="720"/>
      <c r="S52" s="720">
        <v>0</v>
      </c>
      <c r="T52" s="720"/>
      <c r="U52" s="720" t="s">
        <v>46</v>
      </c>
      <c r="V52" s="720" t="s">
        <v>11</v>
      </c>
      <c r="W52" s="720" t="s">
        <v>213</v>
      </c>
      <c r="X52" s="720"/>
      <c r="Y52" s="720"/>
      <c r="Z52" s="728" t="s">
        <v>71</v>
      </c>
      <c r="AA52" s="1059"/>
      <c r="AB52" s="1059"/>
      <c r="AC52" s="1060"/>
      <c r="AD52" s="731"/>
      <c r="AE52" s="1057"/>
      <c r="AF52" s="1057"/>
      <c r="AG52" s="1058"/>
      <c r="AH52" s="468"/>
      <c r="AI52" s="1057"/>
      <c r="AJ52" s="1057"/>
      <c r="AK52" s="1058"/>
      <c r="AL52" s="468"/>
      <c r="AM52" s="49"/>
      <c r="AN52" s="49"/>
      <c r="AO52" s="49"/>
      <c r="AP52" s="49"/>
      <c r="AQ52" s="49"/>
      <c r="AR52" s="49"/>
      <c r="AS52" s="49"/>
      <c r="AT52" s="49"/>
      <c r="AU52" s="49"/>
      <c r="AV52" s="49"/>
      <c r="AW52" s="49"/>
      <c r="AX52" s="49"/>
      <c r="AY52" s="49"/>
      <c r="AZ52" s="49"/>
      <c r="BA52" s="49"/>
      <c r="BB52" s="49"/>
      <c r="BC52" s="49"/>
    </row>
    <row r="53" spans="15:55" ht="15.75">
      <c r="O53" s="720"/>
      <c r="P53" s="720"/>
      <c r="Q53" s="720"/>
      <c r="R53" s="720"/>
      <c r="S53" s="720">
        <v>20</v>
      </c>
      <c r="T53" s="720" t="s">
        <v>17</v>
      </c>
      <c r="U53" s="720">
        <v>1.6800000000000002</v>
      </c>
      <c r="V53" s="720">
        <v>1.6720000000000002</v>
      </c>
      <c r="W53" s="720">
        <v>1.6560000000000001</v>
      </c>
      <c r="X53" s="720"/>
      <c r="Y53" s="720"/>
      <c r="Z53" s="732"/>
      <c r="AA53" s="1059"/>
      <c r="AB53" s="1059"/>
      <c r="AC53" s="1060"/>
      <c r="AD53" s="731"/>
      <c r="AE53" s="1057"/>
      <c r="AF53" s="1057"/>
      <c r="AG53" s="1058"/>
      <c r="AH53" s="468"/>
      <c r="AI53" s="1057"/>
      <c r="AJ53" s="1057"/>
      <c r="AK53" s="1058"/>
      <c r="AL53" s="468"/>
      <c r="AM53" s="49"/>
      <c r="AN53" s="49"/>
      <c r="AO53" s="49"/>
      <c r="AP53" s="49"/>
      <c r="AQ53" s="49"/>
      <c r="AR53" s="49"/>
      <c r="AS53" s="49"/>
      <c r="AT53" s="49"/>
      <c r="AU53" s="49"/>
      <c r="AV53" s="49"/>
      <c r="AW53" s="49"/>
      <c r="AX53" s="49"/>
      <c r="AY53" s="49"/>
      <c r="AZ53" s="49"/>
      <c r="BA53" s="49"/>
      <c r="BB53" s="49"/>
      <c r="BC53" s="49"/>
    </row>
    <row r="54" spans="15:55" ht="12.95" customHeight="1">
      <c r="O54" s="720"/>
      <c r="P54" s="720"/>
      <c r="Q54" s="720"/>
      <c r="R54" s="720"/>
      <c r="S54" s="720">
        <v>25</v>
      </c>
      <c r="T54" s="720" t="s">
        <v>170</v>
      </c>
      <c r="U54" s="720">
        <v>1.722</v>
      </c>
      <c r="V54" s="720">
        <v>1.714</v>
      </c>
      <c r="W54" s="720">
        <v>1.6970000000000001</v>
      </c>
      <c r="X54" s="720"/>
      <c r="Y54" s="720"/>
      <c r="Z54" s="728"/>
      <c r="AA54" s="1059" t="s">
        <v>236</v>
      </c>
      <c r="AB54" s="1059" t="s">
        <v>237</v>
      </c>
      <c r="AC54" s="1060" t="s">
        <v>238</v>
      </c>
      <c r="AD54" s="729" t="s">
        <v>225</v>
      </c>
      <c r="AE54" s="1057" t="s">
        <v>239</v>
      </c>
      <c r="AF54" s="1057" t="s">
        <v>240</v>
      </c>
      <c r="AG54" s="1058" t="s">
        <v>241</v>
      </c>
      <c r="AH54" s="467" t="s">
        <v>225</v>
      </c>
      <c r="AI54" s="1057" t="s">
        <v>242</v>
      </c>
      <c r="AJ54" s="1057" t="s">
        <v>243</v>
      </c>
      <c r="AK54" s="1058" t="s">
        <v>244</v>
      </c>
      <c r="AL54" s="467" t="s">
        <v>225</v>
      </c>
      <c r="AM54" s="49"/>
      <c r="AN54" s="49"/>
      <c r="AO54" s="49"/>
      <c r="AP54" s="49"/>
      <c r="AQ54" s="49"/>
      <c r="AR54" s="49"/>
      <c r="AS54" s="49"/>
      <c r="AT54" s="49"/>
      <c r="AU54" s="49"/>
      <c r="AV54" s="49"/>
      <c r="AW54" s="49"/>
      <c r="AX54" s="49"/>
      <c r="AY54" s="49"/>
      <c r="AZ54" s="49"/>
      <c r="BA54" s="49"/>
      <c r="BB54" s="49"/>
      <c r="BC54" s="49"/>
    </row>
    <row r="55" spans="15:55" ht="22.5" customHeight="1">
      <c r="O55" s="720"/>
      <c r="P55" s="720"/>
      <c r="Q55" s="720"/>
      <c r="R55" s="720"/>
      <c r="S55" s="720">
        <v>35</v>
      </c>
      <c r="T55" s="720">
        <v>7.1</v>
      </c>
      <c r="U55" s="720">
        <v>1.764</v>
      </c>
      <c r="V55" s="720">
        <v>1.756</v>
      </c>
      <c r="W55" s="720">
        <v>1.7389999999999999</v>
      </c>
      <c r="X55" s="720"/>
      <c r="Y55" s="720"/>
      <c r="Z55" s="728" t="s">
        <v>180</v>
      </c>
      <c r="AA55" s="1059"/>
      <c r="AB55" s="1059"/>
      <c r="AC55" s="1060"/>
      <c r="AD55" s="729" t="s">
        <v>245</v>
      </c>
      <c r="AE55" s="1057"/>
      <c r="AF55" s="1057"/>
      <c r="AG55" s="1058"/>
      <c r="AH55" s="467" t="s">
        <v>246</v>
      </c>
      <c r="AI55" s="1057"/>
      <c r="AJ55" s="1057"/>
      <c r="AK55" s="1058"/>
      <c r="AL55" s="467" t="s">
        <v>247</v>
      </c>
      <c r="AM55" s="49"/>
      <c r="AN55" s="49"/>
      <c r="AO55" s="49"/>
      <c r="AP55" s="49"/>
      <c r="AQ55" s="49"/>
      <c r="AR55" s="49"/>
      <c r="AS55" s="49"/>
      <c r="AT55" s="49"/>
      <c r="AU55" s="49"/>
      <c r="AV55" s="49"/>
      <c r="AW55" s="49"/>
      <c r="AX55" s="49"/>
      <c r="AY55" s="49"/>
      <c r="AZ55" s="49"/>
      <c r="BA55" s="49"/>
      <c r="BB55" s="49"/>
      <c r="BC55" s="49"/>
    </row>
    <row r="56" spans="15:55" ht="12.95" customHeight="1">
      <c r="O56" s="720"/>
      <c r="P56" s="720"/>
      <c r="Q56" s="720"/>
      <c r="R56" s="720"/>
      <c r="S56" s="720">
        <v>45</v>
      </c>
      <c r="T56" s="720"/>
      <c r="U56" s="720"/>
      <c r="V56" s="720"/>
      <c r="W56" s="720"/>
      <c r="X56" s="720"/>
      <c r="Y56" s="720"/>
      <c r="Z56" s="728"/>
      <c r="AA56" s="1059" t="s">
        <v>248</v>
      </c>
      <c r="AB56" s="1059" t="s">
        <v>249</v>
      </c>
      <c r="AC56" s="1060" t="s">
        <v>250</v>
      </c>
      <c r="AD56" s="729" t="s">
        <v>225</v>
      </c>
      <c r="AE56" s="1057" t="s">
        <v>251</v>
      </c>
      <c r="AF56" s="1057" t="s">
        <v>252</v>
      </c>
      <c r="AG56" s="1058" t="s">
        <v>253</v>
      </c>
      <c r="AH56" s="467" t="s">
        <v>225</v>
      </c>
      <c r="AI56" s="1057" t="s">
        <v>254</v>
      </c>
      <c r="AJ56" s="1057" t="s">
        <v>255</v>
      </c>
      <c r="AK56" s="1058" t="s">
        <v>256</v>
      </c>
      <c r="AL56" s="467" t="s">
        <v>225</v>
      </c>
      <c r="AM56" s="49"/>
      <c r="AN56" s="49"/>
      <c r="AO56" s="49"/>
      <c r="AP56" s="49"/>
      <c r="AQ56" s="49"/>
      <c r="AR56" s="49"/>
      <c r="AS56" s="49"/>
      <c r="AT56" s="49"/>
      <c r="AU56" s="49"/>
      <c r="AV56" s="49"/>
      <c r="AW56" s="49"/>
      <c r="AX56" s="49"/>
      <c r="AY56" s="49"/>
      <c r="AZ56" s="49"/>
      <c r="BA56" s="49"/>
      <c r="BB56" s="49"/>
      <c r="BC56" s="49"/>
    </row>
    <row r="57" spans="15:55" ht="36.75" customHeight="1">
      <c r="O57" s="720"/>
      <c r="P57" s="720"/>
      <c r="Q57" s="720"/>
      <c r="R57" s="720"/>
      <c r="S57" s="720">
        <v>50</v>
      </c>
      <c r="T57" s="720"/>
      <c r="U57" s="720" t="s">
        <v>17</v>
      </c>
      <c r="V57" s="720" t="s">
        <v>170</v>
      </c>
      <c r="W57" s="720" t="s">
        <v>195</v>
      </c>
      <c r="X57" s="720"/>
      <c r="Y57" s="720"/>
      <c r="Z57" s="728"/>
      <c r="AA57" s="1059"/>
      <c r="AB57" s="1059"/>
      <c r="AC57" s="1060"/>
      <c r="AD57" s="729" t="s">
        <v>257</v>
      </c>
      <c r="AE57" s="1057"/>
      <c r="AF57" s="1057"/>
      <c r="AG57" s="1058"/>
      <c r="AH57" s="467" t="s">
        <v>258</v>
      </c>
      <c r="AI57" s="1057"/>
      <c r="AJ57" s="1057"/>
      <c r="AK57" s="1058"/>
      <c r="AL57" s="467" t="s">
        <v>259</v>
      </c>
      <c r="AM57" s="49"/>
      <c r="AN57" s="49"/>
      <c r="AO57" s="49"/>
      <c r="AP57" s="49"/>
      <c r="AQ57" s="49"/>
      <c r="AR57" s="49"/>
      <c r="AS57" s="49"/>
      <c r="AT57" s="49"/>
      <c r="AU57" s="49"/>
      <c r="AV57" s="49"/>
      <c r="AW57" s="49"/>
      <c r="AX57" s="49"/>
      <c r="AY57" s="49"/>
      <c r="AZ57" s="49"/>
      <c r="BA57" s="49"/>
      <c r="BB57" s="49"/>
      <c r="BC57" s="49"/>
    </row>
    <row r="58" spans="15:55" ht="22.5">
      <c r="O58" s="720"/>
      <c r="P58" s="720"/>
      <c r="Q58" s="720"/>
      <c r="R58" s="720"/>
      <c r="S58" s="720"/>
      <c r="T58" s="720" t="s">
        <v>46</v>
      </c>
      <c r="U58" s="720">
        <v>1.6800000000000002</v>
      </c>
      <c r="V58" s="720">
        <v>1.722</v>
      </c>
      <c r="W58" s="720">
        <v>1.764</v>
      </c>
      <c r="X58" s="720"/>
      <c r="Y58" s="720"/>
      <c r="Z58" s="728" t="s">
        <v>187</v>
      </c>
      <c r="AA58" s="1059"/>
      <c r="AB58" s="1059"/>
      <c r="AC58" s="1060"/>
      <c r="AD58" s="731"/>
      <c r="AE58" s="1057"/>
      <c r="AF58" s="1057"/>
      <c r="AG58" s="1058"/>
      <c r="AH58" s="468"/>
      <c r="AI58" s="1057"/>
      <c r="AJ58" s="1057"/>
      <c r="AK58" s="1058"/>
      <c r="AL58" s="468"/>
      <c r="AM58" s="49"/>
      <c r="AN58" s="49"/>
      <c r="AO58" s="49"/>
      <c r="AP58" s="49"/>
      <c r="AQ58" s="49"/>
      <c r="AR58" s="49"/>
      <c r="AS58" s="49"/>
      <c r="AT58" s="49"/>
      <c r="AU58" s="49"/>
      <c r="AV58" s="49"/>
      <c r="AW58" s="49"/>
      <c r="AX58" s="49"/>
      <c r="AY58" s="49"/>
      <c r="AZ58" s="49"/>
      <c r="BA58" s="49"/>
      <c r="BB58" s="49"/>
      <c r="BC58" s="49"/>
    </row>
    <row r="59" spans="15:55" ht="15.75">
      <c r="O59" s="720"/>
      <c r="P59" s="720"/>
      <c r="Q59" s="720"/>
      <c r="R59" s="720"/>
      <c r="S59" s="720"/>
      <c r="T59" s="720" t="s">
        <v>11</v>
      </c>
      <c r="U59" s="720">
        <v>1.6720000000000002</v>
      </c>
      <c r="V59" s="720">
        <v>1.714</v>
      </c>
      <c r="W59" s="720">
        <v>1.756</v>
      </c>
      <c r="X59" s="720"/>
      <c r="Y59" s="720"/>
      <c r="Z59" s="733"/>
      <c r="AA59" s="1059"/>
      <c r="AB59" s="1059"/>
      <c r="AC59" s="1060"/>
      <c r="AD59" s="731"/>
      <c r="AE59" s="1057"/>
      <c r="AF59" s="1057"/>
      <c r="AG59" s="1058"/>
      <c r="AH59" s="468"/>
      <c r="AI59" s="1057"/>
      <c r="AJ59" s="1057"/>
      <c r="AK59" s="1058"/>
      <c r="AL59" s="468"/>
      <c r="AM59" s="49"/>
      <c r="AN59" s="49"/>
      <c r="AO59" s="49"/>
      <c r="AP59" s="49"/>
      <c r="AQ59" s="49"/>
      <c r="AR59" s="49"/>
      <c r="AS59" s="49"/>
      <c r="AT59" s="49"/>
      <c r="AU59" s="49"/>
      <c r="AV59" s="49"/>
      <c r="AW59" s="49"/>
      <c r="AX59" s="49"/>
      <c r="AY59" s="49"/>
      <c r="AZ59" s="49"/>
      <c r="BA59" s="49"/>
      <c r="BB59" s="49"/>
      <c r="BC59" s="49"/>
    </row>
    <row r="60" spans="15:55" ht="20.25" customHeight="1">
      <c r="O60" s="720"/>
      <c r="P60" s="720"/>
      <c r="Q60" s="720"/>
      <c r="R60" s="720"/>
      <c r="S60" s="720"/>
      <c r="T60" s="720" t="s">
        <v>213</v>
      </c>
      <c r="U60" s="720">
        <v>1.6560000000000001</v>
      </c>
      <c r="V60" s="720">
        <v>1.6970000000000001</v>
      </c>
      <c r="W60" s="720">
        <v>1.7389999999999999</v>
      </c>
      <c r="X60" s="720"/>
      <c r="Y60" s="720"/>
      <c r="Z60" s="720"/>
      <c r="AA60" s="720"/>
      <c r="AB60" s="720"/>
      <c r="AC60" s="720"/>
      <c r="AD60" s="720"/>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row>
    <row r="61" spans="15:55">
      <c r="O61" s="720"/>
      <c r="P61" s="720"/>
      <c r="Q61" s="720"/>
      <c r="R61" s="720"/>
      <c r="S61" s="720"/>
      <c r="T61" s="720"/>
      <c r="U61" s="720"/>
      <c r="V61" s="720"/>
      <c r="W61" s="720"/>
      <c r="X61" s="720"/>
      <c r="Y61" s="720"/>
      <c r="Z61" s="720"/>
      <c r="AA61" s="720"/>
      <c r="AB61" s="720"/>
      <c r="AC61" s="720"/>
      <c r="AD61" s="720"/>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row>
    <row r="62" spans="15:55">
      <c r="O62" s="720"/>
      <c r="P62" s="720"/>
      <c r="Q62" s="720"/>
      <c r="R62" s="720"/>
      <c r="S62" s="720"/>
      <c r="T62" s="720">
        <f>IF($B$5="&lt;5",VLOOKUP($B$3,$T$58:$W$60,2),IF($B$5="5 to 7",VLOOKUP($B$3,$T$58:$W$60,3),IF($B$5="&gt;7",VLOOKUP($B$3,$T$58:$W$60,3),0)))</f>
        <v>1.714</v>
      </c>
      <c r="U62" s="720"/>
      <c r="V62" s="720"/>
      <c r="W62" s="720"/>
      <c r="X62" s="720"/>
      <c r="Y62" s="720"/>
      <c r="Z62" s="720"/>
      <c r="AA62" s="720">
        <f>IF(B5="&lt;5",Z69,IF(B5="5 to 10",Z70,IF(B5="&gt;10",Z71,0)))</f>
        <v>0</v>
      </c>
      <c r="AB62" s="720"/>
      <c r="AC62" s="720"/>
      <c r="AD62" s="720"/>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row>
    <row r="63" spans="15:55">
      <c r="O63" s="720"/>
      <c r="P63" s="720"/>
      <c r="Q63" s="720" t="s">
        <v>38</v>
      </c>
      <c r="R63" s="720"/>
      <c r="S63" s="720"/>
      <c r="T63" s="720"/>
      <c r="U63" s="720"/>
      <c r="V63" s="720"/>
      <c r="W63" s="720"/>
      <c r="X63" s="720"/>
      <c r="Y63" s="720"/>
      <c r="Z63" s="720"/>
      <c r="AA63" s="720"/>
      <c r="AB63" s="720"/>
      <c r="AC63" s="720"/>
      <c r="AD63" s="720"/>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row>
    <row r="64" spans="15:55">
      <c r="O64" s="720"/>
      <c r="P64" s="720" t="s">
        <v>571</v>
      </c>
      <c r="Q64" s="730">
        <f>IF(B3=U52,U53,IF(B3=V52,V53,IF(B3=W52,W53,0)))</f>
        <v>1.6720000000000002</v>
      </c>
      <c r="R64" s="720"/>
      <c r="S64" s="720"/>
      <c r="T64" s="720"/>
      <c r="U64" s="720"/>
      <c r="V64" s="720"/>
      <c r="W64" s="720"/>
      <c r="X64" s="720"/>
      <c r="Y64" s="720"/>
      <c r="Z64" s="720"/>
      <c r="AA64" s="720"/>
      <c r="AB64" s="720"/>
      <c r="AC64" s="720"/>
      <c r="AD64" s="720"/>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row>
    <row r="65" spans="1:55">
      <c r="O65" s="720"/>
      <c r="P65" s="720" t="s">
        <v>572</v>
      </c>
      <c r="Q65" s="720">
        <f>U51</f>
        <v>1.756</v>
      </c>
      <c r="R65" s="720"/>
      <c r="S65" s="720"/>
      <c r="T65" s="720"/>
      <c r="U65" s="720"/>
      <c r="V65" s="720"/>
      <c r="W65" s="720"/>
      <c r="X65" s="720"/>
      <c r="Y65" s="720"/>
      <c r="Z65" s="720"/>
      <c r="AA65" s="720"/>
      <c r="AB65" s="720"/>
      <c r="AC65" s="720"/>
      <c r="AD65" s="720"/>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row>
    <row r="66" spans="1:55">
      <c r="O66" s="720"/>
      <c r="P66" s="720"/>
      <c r="Q66" s="720"/>
      <c r="R66" s="720"/>
      <c r="S66" s="720"/>
      <c r="T66" s="720"/>
      <c r="U66" s="720"/>
      <c r="V66" s="720"/>
      <c r="W66" s="720"/>
      <c r="X66" s="720"/>
      <c r="Y66" s="720"/>
      <c r="Z66" s="720"/>
      <c r="AA66" s="720"/>
      <c r="AB66" s="720"/>
      <c r="AC66" s="720"/>
      <c r="AD66" s="720"/>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row>
    <row r="67" spans="1:55">
      <c r="O67" s="720"/>
      <c r="P67" s="720"/>
      <c r="Q67" s="720"/>
      <c r="R67" s="720"/>
      <c r="S67" s="720"/>
      <c r="T67" s="720"/>
      <c r="U67" s="720"/>
      <c r="V67" s="720"/>
      <c r="W67" s="720"/>
      <c r="X67" s="720"/>
      <c r="Y67" s="720"/>
      <c r="Z67" s="720"/>
      <c r="AA67" s="1043" t="s">
        <v>52</v>
      </c>
      <c r="AB67" s="1043"/>
      <c r="AC67" s="1043"/>
      <c r="AD67" s="1043"/>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row>
    <row r="68" spans="1:55">
      <c r="O68" s="720"/>
      <c r="P68" s="720"/>
      <c r="Q68" s="720"/>
      <c r="R68" s="720"/>
      <c r="S68" s="720"/>
      <c r="T68" s="720"/>
      <c r="U68" s="720"/>
      <c r="V68" s="720"/>
      <c r="W68" s="720"/>
      <c r="X68" s="720"/>
      <c r="Y68" s="720"/>
      <c r="Z68" s="720"/>
      <c r="AA68" s="720" t="s">
        <v>43</v>
      </c>
      <c r="AB68" s="720" t="s">
        <v>19</v>
      </c>
      <c r="AC68" s="734" t="s">
        <v>44</v>
      </c>
      <c r="AD68" s="720" t="s">
        <v>45</v>
      </c>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row>
    <row r="69" spans="1:55">
      <c r="O69" s="720"/>
      <c r="P69" s="720"/>
      <c r="Q69" s="720"/>
      <c r="R69" s="720"/>
      <c r="S69" s="720"/>
      <c r="T69" s="735"/>
      <c r="U69" s="720"/>
      <c r="V69" s="720"/>
      <c r="W69" s="720"/>
      <c r="X69" s="720"/>
      <c r="Y69" s="720" t="s">
        <v>14</v>
      </c>
      <c r="Z69" s="720" t="s">
        <v>17</v>
      </c>
      <c r="AA69" s="736">
        <v>1.6560000000000001</v>
      </c>
      <c r="AB69" s="736">
        <v>1.6560000000000001</v>
      </c>
      <c r="AC69" s="736">
        <v>1.7930000000000001</v>
      </c>
      <c r="AD69" s="736">
        <v>1.879</v>
      </c>
      <c r="AE69" s="49"/>
      <c r="AF69" s="49"/>
      <c r="AG69" s="49"/>
      <c r="AH69" s="49" t="s">
        <v>17</v>
      </c>
      <c r="AI69" s="49"/>
      <c r="AJ69" s="49"/>
      <c r="AK69" s="49"/>
      <c r="AL69" s="49"/>
      <c r="AM69" s="49"/>
      <c r="AN69" s="49"/>
      <c r="AO69" s="49"/>
      <c r="AP69" s="49"/>
      <c r="AQ69" s="49"/>
      <c r="AR69" s="49"/>
      <c r="AS69" s="49"/>
      <c r="AT69" s="49"/>
      <c r="AU69" s="49"/>
      <c r="AV69" s="49"/>
      <c r="AW69" s="49"/>
      <c r="AX69" s="49"/>
      <c r="AY69" s="49"/>
      <c r="AZ69" s="49"/>
      <c r="BA69" s="49"/>
      <c r="BB69" s="49"/>
      <c r="BC69" s="49"/>
    </row>
    <row r="70" spans="1:55">
      <c r="O70" s="720"/>
      <c r="P70" s="720"/>
      <c r="Q70" s="720"/>
      <c r="R70" s="720"/>
      <c r="S70" s="720"/>
      <c r="T70" s="735"/>
      <c r="U70" s="720"/>
      <c r="V70" s="720"/>
      <c r="W70" s="720"/>
      <c r="X70" s="720"/>
      <c r="Y70" s="720" t="s">
        <v>50</v>
      </c>
      <c r="Z70" s="720" t="s">
        <v>51</v>
      </c>
      <c r="AA70" s="736">
        <v>1.7930000000000001</v>
      </c>
      <c r="AB70" s="736">
        <v>1.7930000000000001</v>
      </c>
      <c r="AC70" s="736">
        <v>1.883</v>
      </c>
      <c r="AD70" s="736">
        <v>1.9729999999999999</v>
      </c>
      <c r="AE70" s="49"/>
      <c r="AF70" s="49"/>
      <c r="AG70" s="49"/>
      <c r="AH70" s="49" t="s">
        <v>170</v>
      </c>
      <c r="AI70" s="49"/>
      <c r="AJ70" s="49"/>
      <c r="AK70" s="49"/>
      <c r="AL70" s="49"/>
      <c r="AM70" s="49"/>
      <c r="AN70" s="49"/>
      <c r="AO70" s="49"/>
      <c r="AP70" s="49"/>
      <c r="AQ70" s="49"/>
      <c r="AR70" s="49"/>
      <c r="AS70" s="49"/>
      <c r="AT70" s="49"/>
      <c r="AU70" s="49"/>
      <c r="AV70" s="49"/>
      <c r="AW70" s="49"/>
      <c r="AX70" s="49"/>
      <c r="AY70" s="49"/>
      <c r="AZ70" s="49"/>
      <c r="BA70" s="49"/>
      <c r="BB70" s="49"/>
      <c r="BC70" s="49"/>
    </row>
    <row r="71" spans="1:55">
      <c r="O71" s="720"/>
      <c r="P71" s="720"/>
      <c r="Q71" s="720"/>
      <c r="R71" s="720"/>
      <c r="S71" s="720"/>
      <c r="T71" s="735"/>
      <c r="U71" s="720"/>
      <c r="V71" s="720"/>
      <c r="W71" s="720"/>
      <c r="X71" s="720"/>
      <c r="Y71" s="720"/>
      <c r="Z71" s="720">
        <v>10.1</v>
      </c>
      <c r="AA71" s="736">
        <v>1.8359999999999999</v>
      </c>
      <c r="AB71" s="736">
        <v>1.8359999999999999</v>
      </c>
      <c r="AC71" s="736">
        <v>1.9279999999999999</v>
      </c>
      <c r="AD71" s="736">
        <v>2.02</v>
      </c>
      <c r="AE71" s="49"/>
      <c r="AF71" s="49"/>
      <c r="AG71" s="49"/>
      <c r="AH71" s="49" t="s">
        <v>195</v>
      </c>
      <c r="AI71" s="49"/>
      <c r="AJ71" s="49"/>
      <c r="AK71" s="49"/>
      <c r="AL71" s="49"/>
      <c r="AM71" s="49"/>
      <c r="AN71" s="49"/>
      <c r="AO71" s="49"/>
      <c r="AP71" s="49"/>
      <c r="AQ71" s="49"/>
      <c r="AR71" s="49"/>
      <c r="AS71" s="49"/>
      <c r="AT71" s="49"/>
      <c r="AU71" s="49"/>
      <c r="AV71" s="49"/>
      <c r="AW71" s="49"/>
      <c r="AX71" s="49"/>
      <c r="AY71" s="49"/>
      <c r="AZ71" s="49"/>
      <c r="BA71" s="49"/>
      <c r="BB71" s="49"/>
      <c r="BC71" s="49"/>
    </row>
    <row r="72" spans="1:55">
      <c r="O72" s="720"/>
      <c r="P72" s="720"/>
      <c r="Q72" s="720"/>
      <c r="R72" s="720"/>
      <c r="S72" s="720"/>
      <c r="T72" s="735"/>
      <c r="U72" s="720"/>
      <c r="V72" s="720"/>
      <c r="W72" s="720"/>
      <c r="X72" s="720"/>
      <c r="Y72" s="720"/>
      <c r="Z72" s="720"/>
      <c r="AA72" s="720"/>
      <c r="AB72" s="736"/>
      <c r="AC72" s="736"/>
      <c r="AD72" s="736"/>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row>
    <row r="73" spans="1:55">
      <c r="A73" s="28"/>
      <c r="B73" s="28"/>
      <c r="C73" s="28"/>
      <c r="D73" s="28"/>
      <c r="E73" s="28"/>
      <c r="F73" s="28"/>
      <c r="O73" s="720"/>
      <c r="P73" s="720"/>
      <c r="Q73" s="720"/>
      <c r="R73" s="720"/>
      <c r="S73" s="720"/>
      <c r="T73" s="735"/>
      <c r="U73" s="720"/>
      <c r="V73" s="720"/>
      <c r="W73" s="720"/>
      <c r="X73" s="720"/>
      <c r="Y73" s="720"/>
      <c r="Z73" s="720"/>
      <c r="AA73" s="720"/>
      <c r="AB73" s="720"/>
      <c r="AC73" s="720"/>
      <c r="AD73" s="720"/>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row>
    <row r="74" spans="1:55">
      <c r="A74" s="28"/>
      <c r="B74" s="28"/>
      <c r="C74" s="28"/>
      <c r="D74" s="28"/>
      <c r="E74" s="28"/>
      <c r="F74" s="28"/>
      <c r="O74" s="720"/>
      <c r="P74" s="720"/>
      <c r="Q74" s="720"/>
      <c r="R74" s="720"/>
      <c r="S74" s="720"/>
      <c r="T74" s="735"/>
      <c r="U74" s="720"/>
      <c r="V74" s="720"/>
      <c r="W74" s="720"/>
      <c r="X74" s="720"/>
      <c r="Y74" s="720"/>
      <c r="Z74" s="720"/>
      <c r="AA74" s="720"/>
      <c r="AB74" s="720"/>
      <c r="AC74" s="720"/>
      <c r="AD74" s="720"/>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row>
    <row r="75" spans="1:55" ht="37.5">
      <c r="A75" s="430"/>
      <c r="B75" s="425"/>
      <c r="C75" s="425"/>
      <c r="D75" s="425"/>
      <c r="E75" s="425"/>
      <c r="F75" s="150"/>
      <c r="N75" s="469"/>
      <c r="O75" s="737"/>
      <c r="P75" s="727"/>
      <c r="Q75" s="727"/>
      <c r="R75" s="727" t="s">
        <v>570</v>
      </c>
      <c r="S75" s="727" t="s">
        <v>17</v>
      </c>
      <c r="T75" s="727" t="s">
        <v>201</v>
      </c>
      <c r="U75" s="727"/>
      <c r="V75" s="727"/>
      <c r="W75" s="727"/>
      <c r="X75" s="727"/>
      <c r="Y75" s="727"/>
      <c r="Z75" s="727"/>
      <c r="AA75" s="727"/>
      <c r="AB75" s="727"/>
      <c r="AC75" s="727"/>
      <c r="AD75" s="727"/>
      <c r="AE75" s="57"/>
      <c r="AF75" s="57"/>
      <c r="AG75" s="57"/>
      <c r="AH75" s="49"/>
      <c r="AI75" s="49"/>
      <c r="AJ75" s="49"/>
      <c r="AK75" s="49"/>
      <c r="AL75" s="49"/>
      <c r="AM75" s="49"/>
      <c r="AN75" s="49"/>
      <c r="AO75" s="49"/>
      <c r="AP75" s="49"/>
      <c r="AQ75" s="49"/>
      <c r="AR75" s="49"/>
      <c r="AS75" s="49"/>
      <c r="AT75" s="49"/>
      <c r="AU75" s="49"/>
      <c r="AV75" s="49"/>
      <c r="AW75" s="49"/>
      <c r="AX75" s="49"/>
      <c r="AY75" s="49"/>
      <c r="AZ75" s="49"/>
      <c r="BA75" s="49"/>
      <c r="BB75" s="49"/>
      <c r="BC75" s="49"/>
    </row>
    <row r="76" spans="1:55" ht="23.25">
      <c r="A76" s="129"/>
      <c r="B76" s="151"/>
      <c r="C76" s="151"/>
      <c r="D76" s="151"/>
      <c r="E76" s="151"/>
      <c r="F76" s="151"/>
      <c r="N76" s="469"/>
      <c r="O76" s="737"/>
      <c r="P76" s="727"/>
      <c r="Q76" s="727"/>
      <c r="R76" s="727" t="str">
        <f>IF(B4="Package Policy","Age_Pack_Maxi","Age_Enh_Maxi")</f>
        <v>Age_Enh_Maxi</v>
      </c>
      <c r="S76" s="727" t="s">
        <v>170</v>
      </c>
      <c r="T76" s="727" t="s">
        <v>336</v>
      </c>
      <c r="U76" s="727"/>
      <c r="V76" s="727"/>
      <c r="W76" s="727"/>
      <c r="X76" s="727"/>
      <c r="Y76" s="727"/>
      <c r="Z76" s="727"/>
      <c r="AA76" s="727"/>
      <c r="AB76" s="727"/>
      <c r="AC76" s="727"/>
      <c r="AD76" s="727"/>
      <c r="AE76" s="57"/>
      <c r="AF76" s="57"/>
      <c r="AG76" s="57"/>
      <c r="AH76" s="49"/>
      <c r="AI76" s="49"/>
      <c r="AJ76" s="49"/>
      <c r="AK76" s="49"/>
      <c r="AL76" s="49"/>
      <c r="AM76" s="49"/>
      <c r="AN76" s="49"/>
      <c r="AO76" s="49"/>
      <c r="AP76" s="49"/>
      <c r="AQ76" s="49"/>
      <c r="AR76" s="49"/>
      <c r="AS76" s="49"/>
      <c r="AT76" s="49"/>
      <c r="AU76" s="49"/>
      <c r="AV76" s="49"/>
      <c r="AW76" s="49"/>
      <c r="AX76" s="49"/>
      <c r="AY76" s="49"/>
      <c r="AZ76" s="49"/>
      <c r="BA76" s="49"/>
      <c r="BB76" s="49"/>
      <c r="BC76" s="49"/>
    </row>
    <row r="77" spans="1:55">
      <c r="A77" s="86"/>
      <c r="B77" s="86"/>
      <c r="C77" s="86"/>
      <c r="D77" s="86"/>
      <c r="E77" s="86"/>
      <c r="F77" s="86"/>
      <c r="N77" s="469"/>
      <c r="O77" s="737"/>
      <c r="P77" s="727"/>
      <c r="Q77" s="727"/>
      <c r="R77" s="727"/>
      <c r="S77" s="727" t="s">
        <v>195</v>
      </c>
      <c r="T77" s="727" t="s">
        <v>337</v>
      </c>
      <c r="U77" s="727"/>
      <c r="V77" s="727"/>
      <c r="W77" s="727"/>
      <c r="X77" s="727"/>
      <c r="Y77" s="727"/>
      <c r="Z77" s="727"/>
      <c r="AA77" s="727"/>
      <c r="AB77" s="727"/>
      <c r="AC77" s="727"/>
      <c r="AD77" s="727"/>
      <c r="AE77" s="57"/>
      <c r="AF77" s="57"/>
      <c r="AG77" s="57"/>
      <c r="AH77" s="49"/>
      <c r="AI77" s="49"/>
      <c r="AJ77" s="49"/>
      <c r="AK77" s="49"/>
      <c r="AL77" s="49"/>
      <c r="AM77" s="49"/>
      <c r="AN77" s="49"/>
      <c r="AO77" s="49"/>
      <c r="AP77" s="49"/>
      <c r="AQ77" s="49"/>
      <c r="AR77" s="49"/>
      <c r="AS77" s="49"/>
      <c r="AT77" s="49"/>
      <c r="AU77" s="49"/>
      <c r="AV77" s="49"/>
      <c r="AW77" s="49"/>
      <c r="AX77" s="49"/>
      <c r="AY77" s="49"/>
      <c r="AZ77" s="49"/>
      <c r="BA77" s="49"/>
      <c r="BB77" s="49"/>
      <c r="BC77" s="49"/>
    </row>
    <row r="78" spans="1:55" ht="17.25" customHeight="1">
      <c r="A78" s="131"/>
      <c r="B78" s="132"/>
      <c r="C78" s="132"/>
      <c r="D78" s="132"/>
      <c r="E78" s="132"/>
      <c r="F78" s="132"/>
      <c r="N78" s="469"/>
      <c r="O78" s="737"/>
      <c r="P78" s="727"/>
      <c r="Q78" s="727"/>
      <c r="R78" s="727"/>
      <c r="S78" s="727"/>
      <c r="T78" s="727" t="s">
        <v>338</v>
      </c>
      <c r="U78" s="727"/>
      <c r="V78" s="727"/>
      <c r="W78" s="727"/>
      <c r="X78" s="727"/>
      <c r="Y78" s="727"/>
      <c r="Z78" s="727"/>
      <c r="AA78" s="727"/>
      <c r="AB78" s="727"/>
      <c r="AC78" s="727"/>
      <c r="AD78" s="727"/>
      <c r="AE78" s="57"/>
      <c r="AF78" s="57"/>
      <c r="AG78" s="57"/>
      <c r="AH78" s="49"/>
      <c r="AI78" s="49"/>
      <c r="AJ78" s="49"/>
      <c r="AK78" s="49"/>
      <c r="AL78" s="49"/>
      <c r="AM78" s="49"/>
      <c r="AN78" s="49"/>
      <c r="AO78" s="49"/>
      <c r="AP78" s="49"/>
      <c r="AQ78" s="49"/>
      <c r="AR78" s="49"/>
      <c r="AS78" s="49"/>
      <c r="AT78" s="49"/>
      <c r="AU78" s="49"/>
      <c r="AV78" s="49"/>
      <c r="AW78" s="49"/>
      <c r="AX78" s="49"/>
      <c r="AY78" s="49"/>
      <c r="AZ78" s="49"/>
      <c r="BA78" s="49"/>
      <c r="BB78" s="49"/>
      <c r="BC78" s="49"/>
    </row>
    <row r="79" spans="1:55" ht="15.75">
      <c r="A79" s="427"/>
      <c r="B79" s="132"/>
      <c r="C79" s="132"/>
      <c r="D79" s="132"/>
      <c r="E79" s="132"/>
      <c r="F79" s="132"/>
      <c r="N79" s="469"/>
      <c r="O79" s="737"/>
      <c r="P79" s="727"/>
      <c r="Q79" s="727"/>
      <c r="R79" s="727"/>
      <c r="S79" s="727"/>
      <c r="T79" s="727" t="s">
        <v>339</v>
      </c>
      <c r="U79" s="727"/>
      <c r="V79" s="727"/>
      <c r="W79" s="727"/>
      <c r="X79" s="727"/>
      <c r="Y79" s="727"/>
      <c r="Z79" s="727"/>
      <c r="AA79" s="727"/>
      <c r="AB79" s="727"/>
      <c r="AC79" s="727"/>
      <c r="AD79" s="727"/>
      <c r="AE79" s="57"/>
      <c r="AF79" s="57"/>
      <c r="AG79" s="57"/>
      <c r="AH79" s="49"/>
      <c r="AI79" s="49"/>
      <c r="AJ79" s="49"/>
      <c r="AK79" s="49"/>
      <c r="AL79" s="49"/>
      <c r="AM79" s="49"/>
      <c r="AN79" s="49"/>
      <c r="AO79" s="49"/>
      <c r="AP79" s="49"/>
      <c r="AQ79" s="49"/>
      <c r="AR79" s="49"/>
      <c r="AS79" s="49"/>
      <c r="AT79" s="49"/>
      <c r="AU79" s="49"/>
      <c r="AV79" s="49"/>
      <c r="AW79" s="49"/>
      <c r="AX79" s="49"/>
      <c r="AY79" s="49"/>
      <c r="AZ79" s="49"/>
      <c r="BA79" s="49"/>
      <c r="BB79" s="49"/>
      <c r="BC79" s="49"/>
    </row>
    <row r="80" spans="1:55" ht="15.75">
      <c r="A80" s="131"/>
      <c r="B80" s="132"/>
      <c r="C80" s="132"/>
      <c r="D80" s="132"/>
      <c r="E80" s="132"/>
      <c r="F80" s="132"/>
      <c r="N80" s="469"/>
      <c r="O80" s="737"/>
      <c r="P80" s="727"/>
      <c r="Q80" s="727"/>
      <c r="R80" s="727"/>
      <c r="S80" s="727"/>
      <c r="T80" s="738"/>
      <c r="U80" s="727"/>
      <c r="V80" s="727"/>
      <c r="W80" s="727"/>
      <c r="X80" s="727"/>
      <c r="Y80" s="727"/>
      <c r="Z80" s="727"/>
      <c r="AA80" s="727"/>
      <c r="AB80" s="727"/>
      <c r="AC80" s="727"/>
      <c r="AD80" s="727"/>
      <c r="AE80" s="57"/>
      <c r="AF80" s="57"/>
      <c r="AG80" s="57"/>
      <c r="AH80" s="49"/>
      <c r="AI80" s="49"/>
      <c r="AJ80" s="49"/>
      <c r="AK80" s="49"/>
      <c r="AL80" s="49"/>
      <c r="AM80" s="49"/>
      <c r="AN80" s="49"/>
      <c r="AO80" s="49"/>
      <c r="AP80" s="49"/>
      <c r="AQ80" s="49"/>
      <c r="AR80" s="49"/>
      <c r="AS80" s="49"/>
      <c r="AT80" s="49"/>
      <c r="AU80" s="49"/>
      <c r="AV80" s="49"/>
      <c r="AW80" s="49"/>
      <c r="AX80" s="49"/>
      <c r="AY80" s="49"/>
      <c r="AZ80" s="49"/>
      <c r="BA80" s="49"/>
      <c r="BB80" s="49"/>
      <c r="BC80" s="49"/>
    </row>
    <row r="81" spans="1:55">
      <c r="A81" s="86"/>
      <c r="B81" s="86"/>
      <c r="C81" s="86"/>
      <c r="D81" s="86"/>
      <c r="E81" s="86"/>
      <c r="F81" s="86"/>
      <c r="N81" s="469"/>
      <c r="O81" s="737"/>
      <c r="P81" s="727"/>
      <c r="Q81" s="727"/>
      <c r="R81" s="727"/>
      <c r="S81" s="727"/>
      <c r="T81" s="727"/>
      <c r="U81" s="727"/>
      <c r="V81" s="727"/>
      <c r="W81" s="727"/>
      <c r="X81" s="727"/>
      <c r="Y81" s="727"/>
      <c r="Z81" s="727"/>
      <c r="AA81" s="727"/>
      <c r="AB81" s="727"/>
      <c r="AC81" s="727"/>
      <c r="AD81" s="727"/>
      <c r="AE81" s="57"/>
      <c r="AF81" s="57"/>
      <c r="AG81" s="57"/>
      <c r="AH81" s="49"/>
      <c r="AI81" s="49"/>
      <c r="AJ81" s="49"/>
      <c r="AK81" s="49"/>
      <c r="AL81" s="49"/>
      <c r="AM81" s="49"/>
      <c r="AN81" s="49"/>
      <c r="AO81" s="49"/>
      <c r="AP81" s="49"/>
      <c r="AQ81" s="49"/>
      <c r="AR81" s="49"/>
      <c r="AS81" s="49"/>
      <c r="AT81" s="49"/>
      <c r="AU81" s="49"/>
      <c r="AV81" s="49"/>
      <c r="AW81" s="49"/>
      <c r="AX81" s="49"/>
      <c r="AY81" s="49"/>
      <c r="AZ81" s="49"/>
      <c r="BA81" s="49"/>
      <c r="BB81" s="49"/>
      <c r="BC81" s="49"/>
    </row>
    <row r="82" spans="1:55" ht="23.25">
      <c r="A82" s="129"/>
      <c r="B82" s="151"/>
      <c r="C82" s="151"/>
      <c r="D82" s="151"/>
      <c r="E82" s="151"/>
      <c r="F82" s="151"/>
      <c r="N82" s="469"/>
      <c r="O82" s="737"/>
      <c r="P82" s="739"/>
      <c r="Q82" s="739"/>
      <c r="R82" s="727" t="s">
        <v>203</v>
      </c>
      <c r="S82" s="727" t="s">
        <v>204</v>
      </c>
      <c r="T82" s="727" t="s">
        <v>41</v>
      </c>
      <c r="U82" s="727" t="s">
        <v>205</v>
      </c>
      <c r="V82" s="727" t="s">
        <v>206</v>
      </c>
      <c r="W82" s="727" t="s">
        <v>207</v>
      </c>
      <c r="X82" s="727" t="s">
        <v>208</v>
      </c>
      <c r="Y82" s="727" t="s">
        <v>209</v>
      </c>
      <c r="Z82" s="727"/>
      <c r="AA82" s="727"/>
      <c r="AB82" s="727"/>
      <c r="AC82" s="727"/>
      <c r="AD82" s="727"/>
      <c r="AE82" s="57"/>
      <c r="AF82" s="57"/>
      <c r="AG82" s="57"/>
      <c r="AH82" s="49"/>
      <c r="AI82" s="49"/>
      <c r="AJ82" s="49"/>
      <c r="AK82" s="49"/>
      <c r="AL82" s="49"/>
      <c r="AM82" s="49"/>
      <c r="AN82" s="49"/>
      <c r="AO82" s="49"/>
      <c r="AP82" s="49"/>
      <c r="AQ82" s="49"/>
      <c r="AR82" s="49"/>
      <c r="AS82" s="49"/>
      <c r="AT82" s="49"/>
      <c r="AU82" s="49"/>
      <c r="AV82" s="49"/>
      <c r="AW82" s="49"/>
      <c r="AX82" s="49"/>
      <c r="AY82" s="49"/>
      <c r="AZ82" s="49"/>
      <c r="BA82" s="49"/>
      <c r="BB82" s="49"/>
      <c r="BC82" s="49"/>
    </row>
    <row r="83" spans="1:55">
      <c r="A83" s="86"/>
      <c r="B83" s="86"/>
      <c r="C83" s="86"/>
      <c r="D83" s="86"/>
      <c r="E83" s="86"/>
      <c r="F83" s="86"/>
      <c r="N83" s="469"/>
      <c r="O83" s="737"/>
      <c r="P83" s="739"/>
      <c r="Q83" s="739"/>
      <c r="R83" s="727" t="str">
        <f>IF(OR(I43="&lt;1000",I43="1000-1500"),"&lt;=1500","&gt;1500")</f>
        <v>&gt;1500</v>
      </c>
      <c r="S83" s="727">
        <f>IF(G45=T75,U82,IF(G45=T76,V82,IF(G45=T77,W82,IF(G45=T78,X82,IF(G45=T79,Y82,0)))))</f>
        <v>0</v>
      </c>
      <c r="T83" s="727" t="s">
        <v>210</v>
      </c>
      <c r="U83" s="727">
        <v>0.26</v>
      </c>
      <c r="V83" s="727">
        <v>0.45</v>
      </c>
      <c r="W83" s="727">
        <v>0.57000000000000006</v>
      </c>
      <c r="X83" s="727">
        <v>0.75</v>
      </c>
      <c r="Y83" s="727">
        <v>1</v>
      </c>
      <c r="Z83" s="727"/>
      <c r="AA83" s="727"/>
      <c r="AB83" s="727"/>
      <c r="AC83" s="727"/>
      <c r="AD83" s="727"/>
      <c r="AE83" s="57"/>
      <c r="AF83" s="57"/>
      <c r="AG83" s="57"/>
      <c r="AH83" s="49"/>
      <c r="AI83" s="49"/>
      <c r="AJ83" s="49"/>
      <c r="AK83" s="49"/>
      <c r="AL83" s="49"/>
      <c r="AM83" s="49"/>
      <c r="AN83" s="49"/>
      <c r="AO83" s="49"/>
      <c r="AP83" s="49"/>
      <c r="AQ83" s="49"/>
      <c r="AR83" s="49"/>
      <c r="AS83" s="49"/>
      <c r="AT83" s="49"/>
      <c r="AU83" s="49"/>
      <c r="AV83" s="49"/>
      <c r="AW83" s="49"/>
      <c r="AX83" s="49"/>
      <c r="AY83" s="49"/>
      <c r="AZ83" s="49"/>
      <c r="BA83" s="49"/>
      <c r="BB83" s="49"/>
      <c r="BC83" s="49"/>
    </row>
    <row r="84" spans="1:55" ht="15.75">
      <c r="A84" s="131"/>
      <c r="B84" s="132"/>
      <c r="C84" s="132"/>
      <c r="D84" s="132"/>
      <c r="E84" s="132"/>
      <c r="F84" s="132"/>
      <c r="N84" s="469"/>
      <c r="O84" s="737"/>
      <c r="P84" s="739"/>
      <c r="Q84" s="739"/>
      <c r="R84" s="727"/>
      <c r="S84" s="727"/>
      <c r="T84" s="727" t="s">
        <v>94</v>
      </c>
      <c r="U84" s="727">
        <v>0.24</v>
      </c>
      <c r="V84" s="727">
        <v>0.4</v>
      </c>
      <c r="W84" s="727">
        <v>0.49</v>
      </c>
      <c r="X84" s="727">
        <v>0.66</v>
      </c>
      <c r="Y84" s="727">
        <v>0.89</v>
      </c>
      <c r="Z84" s="727"/>
      <c r="AA84" s="727"/>
      <c r="AB84" s="727"/>
      <c r="AC84" s="727"/>
      <c r="AD84" s="727"/>
      <c r="AE84" s="57"/>
      <c r="AF84" s="57"/>
      <c r="AG84" s="57"/>
      <c r="AH84" s="49"/>
      <c r="AI84" s="49"/>
      <c r="AJ84" s="49"/>
      <c r="AK84" s="49"/>
      <c r="AL84" s="49"/>
      <c r="AM84" s="49"/>
      <c r="AN84" s="49"/>
      <c r="AO84" s="49"/>
      <c r="AP84" s="49"/>
      <c r="AQ84" s="49"/>
      <c r="AR84" s="49"/>
      <c r="AS84" s="49"/>
      <c r="AT84" s="49"/>
      <c r="AU84" s="49"/>
      <c r="AV84" s="49"/>
      <c r="AW84" s="49"/>
      <c r="AX84" s="49"/>
      <c r="AY84" s="49"/>
      <c r="AZ84" s="49"/>
      <c r="BA84" s="49"/>
      <c r="BB84" s="49"/>
      <c r="BC84" s="49"/>
    </row>
    <row r="85" spans="1:55" ht="15.75">
      <c r="A85" s="427"/>
      <c r="B85" s="132"/>
      <c r="C85" s="132"/>
      <c r="D85" s="132"/>
      <c r="E85" s="132"/>
      <c r="F85" s="132"/>
      <c r="N85" s="469"/>
      <c r="O85" s="737"/>
      <c r="P85" s="727"/>
      <c r="Q85" s="727"/>
      <c r="R85" s="727"/>
      <c r="S85" s="727"/>
      <c r="T85" s="727"/>
      <c r="U85" s="727"/>
      <c r="V85" s="727"/>
      <c r="W85" s="727"/>
      <c r="X85" s="727"/>
      <c r="Y85" s="727"/>
      <c r="Z85" s="727"/>
      <c r="AA85" s="727"/>
      <c r="AB85" s="727"/>
      <c r="AC85" s="727"/>
      <c r="AD85" s="727"/>
      <c r="AE85" s="57"/>
      <c r="AF85" s="57"/>
      <c r="AG85" s="57"/>
      <c r="AH85" s="49"/>
      <c r="AI85" s="49"/>
      <c r="AJ85" s="49"/>
      <c r="AK85" s="49"/>
      <c r="AL85" s="49"/>
      <c r="AM85" s="49"/>
      <c r="AN85" s="49"/>
      <c r="AO85" s="49"/>
      <c r="AP85" s="49"/>
      <c r="AQ85" s="49"/>
      <c r="AR85" s="49"/>
      <c r="AS85" s="49"/>
      <c r="AT85" s="49"/>
      <c r="AU85" s="49"/>
      <c r="AV85" s="49"/>
      <c r="AW85" s="49"/>
      <c r="AX85" s="49"/>
      <c r="AY85" s="49"/>
      <c r="AZ85" s="49"/>
      <c r="BA85" s="49"/>
      <c r="BB85" s="49"/>
      <c r="BC85" s="49"/>
    </row>
    <row r="86" spans="1:55" ht="15.75">
      <c r="A86" s="131"/>
      <c r="B86" s="132"/>
      <c r="C86" s="132"/>
      <c r="D86" s="132"/>
      <c r="E86" s="132"/>
      <c r="F86" s="132"/>
      <c r="N86" s="469"/>
      <c r="O86" s="737"/>
      <c r="P86" s="727"/>
      <c r="Q86" s="727"/>
      <c r="R86" s="727"/>
      <c r="S86" s="727"/>
      <c r="T86" s="727"/>
      <c r="U86" s="727"/>
      <c r="V86" s="727"/>
      <c r="W86" s="727"/>
      <c r="X86" s="727"/>
      <c r="Y86" s="727"/>
      <c r="Z86" s="727"/>
      <c r="AA86" s="727"/>
      <c r="AB86" s="727"/>
      <c r="AC86" s="727"/>
      <c r="AD86" s="727"/>
      <c r="AE86" s="57"/>
      <c r="AF86" s="57"/>
      <c r="AG86" s="57"/>
      <c r="AH86" s="49"/>
      <c r="AI86" s="49"/>
      <c r="AJ86" s="49"/>
      <c r="AK86" s="49"/>
      <c r="AL86" s="49"/>
      <c r="AM86" s="49"/>
      <c r="AN86" s="49"/>
      <c r="AO86" s="49"/>
      <c r="AP86" s="49"/>
      <c r="AQ86" s="49"/>
      <c r="AR86" s="49"/>
      <c r="AS86" s="49"/>
      <c r="AT86" s="49"/>
      <c r="AU86" s="49"/>
      <c r="AV86" s="49"/>
      <c r="AW86" s="49"/>
      <c r="AX86" s="49"/>
      <c r="AY86" s="49"/>
      <c r="AZ86" s="49"/>
      <c r="BA86" s="49"/>
      <c r="BB86" s="49"/>
      <c r="BC86" s="49"/>
    </row>
    <row r="87" spans="1:55">
      <c r="A87" s="86"/>
      <c r="B87" s="86"/>
      <c r="C87" s="86"/>
      <c r="D87" s="86"/>
      <c r="E87" s="86"/>
      <c r="F87" s="86"/>
      <c r="N87" s="469"/>
      <c r="O87" s="737"/>
      <c r="P87" s="727"/>
      <c r="Q87" s="727"/>
      <c r="R87" s="727"/>
      <c r="S87" s="727"/>
      <c r="T87" s="727"/>
      <c r="U87" s="727"/>
      <c r="V87" s="727"/>
      <c r="W87" s="727"/>
      <c r="X87" s="727"/>
      <c r="Y87" s="727"/>
      <c r="Z87" s="727"/>
      <c r="AA87" s="727"/>
      <c r="AB87" s="727"/>
      <c r="AC87" s="727"/>
      <c r="AD87" s="727"/>
      <c r="AE87" s="57"/>
      <c r="AF87" s="57"/>
      <c r="AG87" s="57"/>
      <c r="AH87" s="49"/>
      <c r="AI87" s="49"/>
      <c r="AJ87" s="49"/>
      <c r="AK87" s="49"/>
      <c r="AL87" s="49"/>
      <c r="AM87" s="49"/>
      <c r="AN87" s="49"/>
      <c r="AO87" s="49"/>
      <c r="AP87" s="49"/>
      <c r="AQ87" s="49"/>
      <c r="AR87" s="49"/>
      <c r="AS87" s="49"/>
      <c r="AT87" s="49"/>
      <c r="AU87" s="49"/>
      <c r="AV87" s="49"/>
      <c r="AW87" s="49"/>
      <c r="AX87" s="49"/>
      <c r="AY87" s="49"/>
      <c r="AZ87" s="49"/>
      <c r="BA87" s="49"/>
      <c r="BB87" s="49"/>
      <c r="BC87" s="49"/>
    </row>
    <row r="88" spans="1:55" ht="23.25">
      <c r="A88" s="129"/>
      <c r="B88" s="151"/>
      <c r="C88" s="151"/>
      <c r="D88" s="151"/>
      <c r="E88" s="151"/>
      <c r="F88" s="151"/>
      <c r="N88" s="469"/>
      <c r="O88" s="737"/>
      <c r="P88" s="727"/>
      <c r="Q88" s="727"/>
      <c r="R88" s="727"/>
      <c r="S88" s="727"/>
      <c r="T88" s="727"/>
      <c r="U88" s="727"/>
      <c r="V88" s="727"/>
      <c r="W88" s="727"/>
      <c r="X88" s="727"/>
      <c r="Y88" s="727"/>
      <c r="Z88" s="727"/>
      <c r="AA88" s="727"/>
      <c r="AB88" s="727"/>
      <c r="AC88" s="727"/>
      <c r="AD88" s="727"/>
      <c r="AE88" s="57"/>
      <c r="AF88" s="57"/>
      <c r="AG88" s="57"/>
      <c r="AH88" s="49"/>
      <c r="AI88" s="49"/>
      <c r="AJ88" s="49"/>
      <c r="AK88" s="49"/>
      <c r="AL88" s="49"/>
      <c r="AM88" s="49"/>
      <c r="AN88" s="49"/>
      <c r="AO88" s="49"/>
      <c r="AP88" s="49"/>
      <c r="AQ88" s="49"/>
      <c r="AR88" s="49"/>
      <c r="AS88" s="49"/>
      <c r="AT88" s="49"/>
      <c r="AU88" s="49"/>
      <c r="AV88" s="49"/>
      <c r="AW88" s="49"/>
      <c r="AX88" s="49"/>
      <c r="AY88" s="49"/>
      <c r="AZ88" s="49"/>
      <c r="BA88" s="49"/>
      <c r="BB88" s="49"/>
      <c r="BC88" s="49"/>
    </row>
    <row r="89" spans="1:55">
      <c r="A89" s="86"/>
      <c r="B89" s="86"/>
      <c r="C89" s="86"/>
      <c r="D89" s="86"/>
      <c r="E89" s="86"/>
      <c r="F89" s="86"/>
      <c r="N89" s="469"/>
      <c r="O89" s="737"/>
      <c r="P89" s="727"/>
      <c r="Q89" s="727" t="s">
        <v>23</v>
      </c>
      <c r="R89" s="727"/>
      <c r="S89" s="727"/>
      <c r="T89" s="727"/>
      <c r="U89" s="727"/>
      <c r="V89" s="727"/>
      <c r="W89" s="727"/>
      <c r="X89" s="727"/>
      <c r="Y89" s="727"/>
      <c r="Z89" s="727"/>
      <c r="AA89" s="727"/>
      <c r="AB89" s="727"/>
      <c r="AC89" s="727"/>
      <c r="AD89" s="727"/>
      <c r="AE89" s="57"/>
      <c r="AF89" s="57"/>
      <c r="AG89" s="57"/>
      <c r="AH89" s="49"/>
      <c r="AI89" s="49"/>
      <c r="AJ89" s="49"/>
      <c r="AK89" s="49"/>
      <c r="AL89" s="49"/>
      <c r="AM89" s="49"/>
      <c r="AN89" s="49"/>
      <c r="AO89" s="49"/>
      <c r="AP89" s="49"/>
      <c r="AQ89" s="49"/>
      <c r="AR89" s="49"/>
      <c r="AS89" s="49"/>
      <c r="AT89" s="49"/>
      <c r="AU89" s="49"/>
      <c r="AV89" s="49"/>
      <c r="AW89" s="49"/>
      <c r="AX89" s="49"/>
      <c r="AY89" s="49"/>
      <c r="AZ89" s="49"/>
      <c r="BA89" s="49"/>
      <c r="BB89" s="49"/>
      <c r="BC89" s="49"/>
    </row>
    <row r="90" spans="1:55" ht="15.75">
      <c r="A90" s="131"/>
      <c r="B90" s="132"/>
      <c r="C90" s="132"/>
      <c r="D90" s="132"/>
      <c r="E90" s="132"/>
      <c r="F90" s="132"/>
      <c r="N90" s="469"/>
      <c r="O90" s="737"/>
      <c r="P90" s="727" t="s">
        <v>210</v>
      </c>
      <c r="Q90" s="727">
        <f>IF(B5=T75,U83,IF(B5=T76,V83,IF(B5=T77,W83,IF(B5=T78,X83,IF(B5=T79,Y83,0)))))</f>
        <v>0</v>
      </c>
      <c r="R90" s="727"/>
      <c r="S90" s="727"/>
      <c r="T90" s="727"/>
      <c r="U90" s="727"/>
      <c r="V90" s="727"/>
      <c r="W90" s="727"/>
      <c r="X90" s="727"/>
      <c r="Y90" s="727"/>
      <c r="Z90" s="727"/>
      <c r="AA90" s="727"/>
      <c r="AB90" s="727"/>
      <c r="AC90" s="727"/>
      <c r="AD90" s="727"/>
      <c r="AE90" s="57"/>
      <c r="AF90" s="57"/>
      <c r="AG90" s="57"/>
      <c r="AH90" s="49"/>
      <c r="AI90" s="49"/>
      <c r="AJ90" s="49"/>
      <c r="AK90" s="49"/>
      <c r="AL90" s="49"/>
      <c r="AM90" s="49"/>
      <c r="AN90" s="49"/>
      <c r="AO90" s="49"/>
      <c r="AP90" s="49"/>
      <c r="AQ90" s="49"/>
      <c r="AR90" s="49"/>
      <c r="AS90" s="49"/>
      <c r="AT90" s="49"/>
      <c r="AU90" s="49"/>
      <c r="AV90" s="49"/>
      <c r="AW90" s="49"/>
      <c r="AX90" s="49"/>
      <c r="AY90" s="49"/>
      <c r="AZ90" s="49"/>
      <c r="BA90" s="49"/>
      <c r="BB90" s="49"/>
      <c r="BC90" s="49"/>
    </row>
    <row r="91" spans="1:55" ht="15.75">
      <c r="A91" s="427"/>
      <c r="B91" s="132"/>
      <c r="C91" s="132"/>
      <c r="D91" s="132"/>
      <c r="E91" s="132"/>
      <c r="F91" s="132"/>
      <c r="N91" s="469"/>
      <c r="O91" s="737"/>
      <c r="P91" s="727" t="s">
        <v>94</v>
      </c>
      <c r="Q91" s="727">
        <f>IF(B5=T75,U84,IF(B5=T76,V84,IF(B5=T77,W84,IF(B5=T78,X84,IF(B5=T79,Y84,0)))))</f>
        <v>0</v>
      </c>
      <c r="R91" s="727"/>
      <c r="S91" s="727"/>
      <c r="T91" s="727"/>
      <c r="U91" s="727"/>
      <c r="V91" s="727"/>
      <c r="W91" s="727"/>
      <c r="X91" s="727"/>
      <c r="Y91" s="727"/>
      <c r="Z91" s="727"/>
      <c r="AA91" s="727"/>
      <c r="AB91" s="727"/>
      <c r="AC91" s="727"/>
      <c r="AD91" s="727"/>
      <c r="AE91" s="57"/>
      <c r="AF91" s="57"/>
      <c r="AG91" s="57"/>
      <c r="AH91" s="49"/>
      <c r="AI91" s="49"/>
      <c r="AJ91" s="49"/>
      <c r="AK91" s="49"/>
      <c r="AL91" s="49"/>
      <c r="AM91" s="49"/>
      <c r="AN91" s="49"/>
      <c r="AO91" s="49"/>
      <c r="AP91" s="49"/>
      <c r="AQ91" s="49"/>
      <c r="AR91" s="49"/>
      <c r="AS91" s="49"/>
      <c r="AT91" s="49"/>
      <c r="AU91" s="49"/>
      <c r="AV91" s="49"/>
      <c r="AW91" s="49"/>
      <c r="AX91" s="49"/>
      <c r="AY91" s="49"/>
      <c r="AZ91" s="49"/>
      <c r="BA91" s="49"/>
      <c r="BB91" s="49"/>
      <c r="BC91" s="49"/>
    </row>
    <row r="92" spans="1:55" ht="15.75">
      <c r="A92" s="131"/>
      <c r="B92" s="132"/>
      <c r="C92" s="132"/>
      <c r="D92" s="132"/>
      <c r="E92" s="132"/>
      <c r="F92" s="132"/>
      <c r="N92" s="469"/>
      <c r="O92" s="737"/>
      <c r="P92" s="737"/>
      <c r="Q92" s="737"/>
      <c r="R92" s="737"/>
      <c r="S92" s="737"/>
      <c r="T92" s="737"/>
      <c r="U92" s="727"/>
      <c r="V92" s="727"/>
      <c r="W92" s="727"/>
      <c r="X92" s="727"/>
      <c r="Y92" s="727"/>
      <c r="Z92" s="727"/>
      <c r="AA92" s="727"/>
      <c r="AB92" s="727"/>
      <c r="AC92" s="727"/>
      <c r="AD92" s="727"/>
      <c r="AE92" s="57"/>
      <c r="AF92" s="57"/>
      <c r="AG92" s="57"/>
      <c r="AH92" s="49"/>
      <c r="AI92" s="49"/>
      <c r="AJ92" s="49"/>
      <c r="AK92" s="49"/>
      <c r="AL92" s="49"/>
      <c r="AM92" s="49"/>
      <c r="AN92" s="49"/>
      <c r="AO92" s="49"/>
      <c r="AP92" s="49"/>
      <c r="AQ92" s="49"/>
      <c r="AR92" s="49"/>
      <c r="AS92" s="49"/>
      <c r="AT92" s="49"/>
      <c r="AU92" s="49"/>
      <c r="AV92" s="49"/>
      <c r="AW92" s="49"/>
      <c r="AX92" s="49"/>
      <c r="AY92" s="49"/>
      <c r="AZ92" s="49"/>
      <c r="BA92" s="49"/>
      <c r="BB92" s="49"/>
      <c r="BC92" s="49"/>
    </row>
    <row r="93" spans="1:55">
      <c r="A93" s="86"/>
      <c r="B93" s="86"/>
      <c r="C93" s="86"/>
      <c r="D93" s="86"/>
      <c r="E93" s="86"/>
      <c r="F93" s="86"/>
      <c r="N93" s="469"/>
      <c r="O93" s="737"/>
      <c r="P93" s="737"/>
      <c r="Q93" s="737"/>
      <c r="R93" s="737"/>
      <c r="S93" s="737"/>
      <c r="T93" s="737"/>
      <c r="U93" s="737"/>
      <c r="V93" s="727"/>
      <c r="W93" s="727"/>
      <c r="X93" s="727"/>
      <c r="Y93" s="727"/>
      <c r="Z93" s="727"/>
      <c r="AA93" s="727"/>
      <c r="AB93" s="727"/>
      <c r="AC93" s="727"/>
      <c r="AD93" s="727"/>
      <c r="AE93" s="57"/>
      <c r="AF93" s="57"/>
      <c r="AG93" s="57"/>
      <c r="AH93" s="49"/>
      <c r="AI93" s="49"/>
      <c r="AJ93" s="49"/>
      <c r="AK93" s="49"/>
      <c r="AL93" s="49"/>
      <c r="AM93" s="49"/>
      <c r="AN93" s="49"/>
      <c r="AO93" s="49"/>
      <c r="AP93" s="49"/>
      <c r="AQ93" s="49"/>
      <c r="AR93" s="49"/>
      <c r="AS93" s="49"/>
      <c r="AT93" s="49"/>
      <c r="AU93" s="49"/>
      <c r="AV93" s="49"/>
      <c r="AW93" s="49"/>
      <c r="AX93" s="49"/>
      <c r="AY93" s="49"/>
      <c r="AZ93" s="49"/>
      <c r="BA93" s="49"/>
      <c r="BB93" s="49"/>
      <c r="BC93" s="49"/>
    </row>
    <row r="94" spans="1:55" ht="37.5">
      <c r="A94" s="430"/>
      <c r="B94" s="86"/>
      <c r="C94" s="86"/>
      <c r="D94" s="86"/>
      <c r="E94" s="86"/>
      <c r="F94" s="150"/>
      <c r="N94" s="469"/>
      <c r="O94" s="737"/>
      <c r="P94" s="737"/>
      <c r="Q94" s="737"/>
      <c r="R94" s="737"/>
      <c r="S94" s="737"/>
      <c r="T94" s="737"/>
      <c r="U94" s="737"/>
      <c r="V94" s="727"/>
      <c r="W94" s="727"/>
      <c r="X94" s="727"/>
      <c r="Y94" s="727"/>
      <c r="Z94" s="727"/>
      <c r="AA94" s="727"/>
      <c r="AB94" s="727"/>
      <c r="AC94" s="727"/>
      <c r="AD94" s="727"/>
      <c r="AE94" s="57"/>
      <c r="AF94" s="57"/>
      <c r="AG94" s="57"/>
      <c r="AH94" s="49"/>
      <c r="AI94" s="49"/>
      <c r="AJ94" s="49"/>
      <c r="AK94" s="49"/>
      <c r="AL94" s="49"/>
      <c r="AM94" s="49"/>
      <c r="AN94" s="49"/>
      <c r="AO94" s="49"/>
      <c r="AP94" s="49"/>
      <c r="AQ94" s="49"/>
      <c r="AR94" s="49"/>
      <c r="AS94" s="49"/>
      <c r="AT94" s="49"/>
      <c r="AU94" s="49"/>
      <c r="AV94" s="49"/>
      <c r="AW94" s="49"/>
      <c r="AX94" s="49"/>
      <c r="AY94" s="49"/>
      <c r="AZ94" s="49"/>
      <c r="BA94" s="49"/>
      <c r="BB94" s="49"/>
      <c r="BC94" s="49"/>
    </row>
    <row r="95" spans="1:55" ht="17.25" customHeight="1">
      <c r="A95" s="129"/>
      <c r="B95" s="151"/>
      <c r="C95" s="151"/>
      <c r="D95" s="151"/>
      <c r="E95" s="151"/>
      <c r="F95" s="151"/>
      <c r="O95" s="737"/>
      <c r="P95" s="737"/>
      <c r="Q95" s="737"/>
      <c r="R95" s="737"/>
      <c r="S95" s="737"/>
      <c r="T95" s="737"/>
      <c r="U95" s="737"/>
      <c r="V95" s="727"/>
      <c r="W95" s="727"/>
      <c r="X95" s="727"/>
      <c r="Y95" s="727"/>
      <c r="Z95" s="727"/>
      <c r="AA95" s="727"/>
      <c r="AB95" s="727"/>
      <c r="AC95" s="727"/>
      <c r="AD95" s="727"/>
      <c r="AE95" s="57"/>
      <c r="AF95" s="57"/>
      <c r="AG95" s="57"/>
      <c r="AH95" s="49"/>
      <c r="AI95" s="49"/>
      <c r="AJ95" s="49"/>
      <c r="AK95" s="49"/>
      <c r="AL95" s="49"/>
      <c r="AM95" s="49"/>
      <c r="AN95" s="49"/>
      <c r="AO95" s="49"/>
      <c r="AP95" s="49"/>
      <c r="AQ95" s="49"/>
      <c r="AR95" s="49"/>
      <c r="AS95" s="49"/>
      <c r="AT95" s="49"/>
      <c r="AU95" s="49"/>
      <c r="AV95" s="49"/>
      <c r="AW95" s="49"/>
      <c r="AX95" s="49"/>
      <c r="AY95" s="49"/>
      <c r="AZ95" s="49"/>
      <c r="BA95" s="49"/>
      <c r="BB95" s="49"/>
      <c r="BC95" s="49"/>
    </row>
    <row r="96" spans="1:55">
      <c r="A96" s="86"/>
      <c r="B96" s="86"/>
      <c r="C96" s="86"/>
      <c r="D96" s="86"/>
      <c r="E96" s="86"/>
      <c r="F96" s="86"/>
      <c r="O96" s="470"/>
      <c r="P96" s="470"/>
      <c r="Q96" s="470"/>
      <c r="R96" s="470"/>
      <c r="S96" s="470"/>
      <c r="T96" s="470"/>
      <c r="U96" s="470"/>
      <c r="V96" s="57"/>
      <c r="W96" s="57"/>
      <c r="X96" s="57"/>
      <c r="Y96" s="57"/>
      <c r="Z96" s="57"/>
      <c r="AA96" s="57"/>
      <c r="AB96" s="57"/>
      <c r="AC96" s="57"/>
      <c r="AD96" s="57"/>
      <c r="AE96" s="57"/>
      <c r="AF96" s="57"/>
      <c r="AG96" s="57"/>
      <c r="AH96" s="49"/>
      <c r="AI96" s="49"/>
      <c r="AJ96" s="49"/>
      <c r="AK96" s="49"/>
      <c r="AL96" s="49"/>
      <c r="AM96" s="49"/>
      <c r="AN96" s="49"/>
      <c r="AO96" s="49"/>
      <c r="AP96" s="49"/>
      <c r="AQ96" s="49"/>
      <c r="AR96" s="49"/>
      <c r="AS96" s="49"/>
      <c r="AT96" s="49"/>
      <c r="AU96" s="49"/>
      <c r="AV96" s="49"/>
      <c r="AW96" s="49"/>
      <c r="AX96" s="49"/>
      <c r="AY96" s="49"/>
      <c r="AZ96" s="49"/>
      <c r="BA96" s="49"/>
      <c r="BB96" s="49"/>
      <c r="BC96" s="49"/>
    </row>
    <row r="97" spans="1:55" ht="15.75">
      <c r="A97" s="131"/>
      <c r="B97" s="132"/>
      <c r="C97" s="132"/>
      <c r="D97" s="132"/>
      <c r="E97" s="132"/>
      <c r="F97" s="132"/>
      <c r="O97" s="470"/>
      <c r="P97" s="470"/>
      <c r="Q97" s="470"/>
      <c r="R97" s="470"/>
      <c r="S97" s="470"/>
      <c r="T97" s="470"/>
      <c r="U97" s="470"/>
      <c r="V97" s="57"/>
      <c r="W97" s="57"/>
      <c r="X97" s="57"/>
      <c r="Y97" s="57"/>
      <c r="Z97" s="57"/>
      <c r="AA97" s="57"/>
      <c r="AB97" s="57"/>
      <c r="AC97" s="57"/>
      <c r="AD97" s="57"/>
      <c r="AE97" s="57"/>
      <c r="AF97" s="57"/>
      <c r="AG97" s="57"/>
      <c r="AH97" s="49"/>
      <c r="AI97" s="49"/>
      <c r="AJ97" s="49"/>
      <c r="AK97" s="49"/>
      <c r="AL97" s="49"/>
      <c r="AM97" s="49"/>
      <c r="AN97" s="49"/>
      <c r="AO97" s="49"/>
      <c r="AP97" s="49"/>
      <c r="AQ97" s="49"/>
      <c r="AR97" s="49"/>
      <c r="AS97" s="49"/>
      <c r="AT97" s="49"/>
      <c r="AU97" s="49"/>
      <c r="AV97" s="49"/>
      <c r="AW97" s="49"/>
      <c r="AX97" s="49"/>
      <c r="AY97" s="49"/>
      <c r="AZ97" s="49"/>
      <c r="BA97" s="49"/>
      <c r="BB97" s="49"/>
      <c r="BC97" s="49"/>
    </row>
    <row r="98" spans="1:55" ht="15" customHeight="1">
      <c r="A98" s="427"/>
      <c r="B98" s="132"/>
      <c r="C98" s="132"/>
      <c r="D98" s="132"/>
      <c r="E98" s="132"/>
      <c r="F98" s="132"/>
      <c r="O98" s="57"/>
      <c r="P98" s="57"/>
      <c r="Q98" s="57"/>
      <c r="R98" s="57"/>
      <c r="S98" s="57"/>
      <c r="T98" s="57"/>
      <c r="U98" s="57"/>
      <c r="V98" s="57"/>
      <c r="W98" s="57"/>
      <c r="X98" s="57"/>
      <c r="Y98" s="57"/>
      <c r="Z98" s="57"/>
      <c r="AA98" s="57"/>
      <c r="AB98" s="57"/>
      <c r="AC98" s="57"/>
      <c r="AD98" s="57"/>
      <c r="AE98" s="57"/>
      <c r="AF98" s="57"/>
      <c r="AG98" s="57"/>
      <c r="AH98" s="49"/>
      <c r="AI98" s="49"/>
      <c r="AJ98" s="49"/>
      <c r="AK98" s="49"/>
      <c r="AL98" s="49"/>
      <c r="AM98" s="49"/>
      <c r="AN98" s="49"/>
      <c r="AO98" s="49"/>
      <c r="AP98" s="49"/>
      <c r="AQ98" s="49"/>
      <c r="AR98" s="49"/>
      <c r="AS98" s="49"/>
      <c r="AT98" s="49"/>
      <c r="AU98" s="49"/>
      <c r="AV98" s="49"/>
      <c r="AW98" s="49"/>
      <c r="AX98" s="49"/>
      <c r="AY98" s="49"/>
      <c r="AZ98" s="49"/>
      <c r="BA98" s="49"/>
      <c r="BB98" s="49"/>
      <c r="BC98" s="49"/>
    </row>
    <row r="99" spans="1:55" ht="15.75">
      <c r="A99" s="131"/>
      <c r="B99" s="132"/>
      <c r="C99" s="132"/>
      <c r="D99" s="132"/>
      <c r="E99" s="132"/>
      <c r="F99" s="132"/>
      <c r="O99" s="57"/>
      <c r="P99" s="57"/>
      <c r="Q99" s="57"/>
      <c r="R99" s="57"/>
      <c r="S99" s="57"/>
      <c r="T99" s="57"/>
      <c r="U99" s="57"/>
      <c r="V99" s="57"/>
      <c r="W99" s="57"/>
      <c r="X99" s="57"/>
      <c r="Y99" s="57"/>
      <c r="Z99" s="57"/>
      <c r="AA99" s="57"/>
      <c r="AB99" s="57"/>
      <c r="AC99" s="57"/>
      <c r="AD99" s="57"/>
      <c r="AE99" s="57"/>
      <c r="AF99" s="57"/>
      <c r="AG99" s="57"/>
      <c r="AH99" s="49"/>
      <c r="AI99" s="49"/>
      <c r="AJ99" s="49"/>
      <c r="AK99" s="49"/>
      <c r="AL99" s="49"/>
      <c r="AM99" s="49"/>
      <c r="AN99" s="49"/>
      <c r="AO99" s="49"/>
      <c r="AP99" s="49"/>
      <c r="AQ99" s="49"/>
      <c r="AR99" s="49"/>
      <c r="AS99" s="49"/>
      <c r="AT99" s="49"/>
      <c r="AU99" s="49"/>
      <c r="AV99" s="49"/>
      <c r="AW99" s="49"/>
      <c r="AX99" s="49"/>
      <c r="AY99" s="49"/>
      <c r="AZ99" s="49"/>
      <c r="BA99" s="49"/>
      <c r="BB99" s="49"/>
      <c r="BC99" s="49"/>
    </row>
    <row r="100" spans="1:55">
      <c r="A100" s="86"/>
      <c r="B100" s="150"/>
      <c r="C100" s="150"/>
      <c r="D100" s="150"/>
      <c r="E100" s="150"/>
      <c r="F100" s="86"/>
      <c r="O100" s="57"/>
      <c r="P100" s="57"/>
      <c r="Q100" s="57"/>
      <c r="R100" s="57"/>
      <c r="S100" s="57"/>
      <c r="T100" s="57"/>
      <c r="U100" s="57"/>
      <c r="V100" s="57"/>
      <c r="W100" s="57"/>
      <c r="X100" s="57"/>
      <c r="Y100" s="57"/>
      <c r="Z100" s="57"/>
      <c r="AA100" s="57"/>
      <c r="AB100" s="57"/>
      <c r="AC100" s="57"/>
      <c r="AD100" s="57"/>
      <c r="AE100" s="57"/>
      <c r="AF100" s="57"/>
      <c r="AG100" s="57"/>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row>
    <row r="101" spans="1:55" ht="23.25">
      <c r="A101" s="129"/>
      <c r="B101" s="151"/>
      <c r="C101" s="151"/>
      <c r="D101" s="151"/>
      <c r="E101" s="151"/>
      <c r="F101" s="151"/>
      <c r="O101" s="57"/>
      <c r="P101" s="57"/>
      <c r="Q101" s="57"/>
      <c r="R101" s="57"/>
      <c r="S101" s="57"/>
      <c r="T101" s="57"/>
      <c r="U101" s="57"/>
      <c r="V101" s="57"/>
      <c r="W101" s="57"/>
      <c r="X101" s="57"/>
      <c r="Y101" s="57"/>
      <c r="Z101" s="57"/>
      <c r="AA101" s="57"/>
      <c r="AB101" s="57"/>
      <c r="AC101" s="57"/>
      <c r="AD101" s="57"/>
      <c r="AE101" s="57"/>
      <c r="AF101" s="57"/>
      <c r="AG101" s="57"/>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row>
    <row r="102" spans="1:55">
      <c r="A102" s="86"/>
      <c r="B102" s="86"/>
      <c r="C102" s="86"/>
      <c r="D102" s="86"/>
      <c r="E102" s="86"/>
      <c r="F102" s="86"/>
      <c r="O102" s="57"/>
      <c r="P102" s="57"/>
      <c r="Q102" s="57"/>
      <c r="R102" s="57"/>
      <c r="S102" s="57"/>
      <c r="T102" s="57"/>
      <c r="U102" s="57"/>
      <c r="V102" s="57"/>
      <c r="W102" s="57"/>
      <c r="X102" s="57"/>
      <c r="Y102" s="57"/>
      <c r="Z102" s="57"/>
      <c r="AA102" s="57"/>
      <c r="AB102" s="57"/>
      <c r="AC102" s="57"/>
      <c r="AD102" s="57"/>
      <c r="AE102" s="57"/>
      <c r="AF102" s="57"/>
      <c r="AG102" s="57"/>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row>
    <row r="103" spans="1:55" ht="15.75">
      <c r="A103" s="131"/>
      <c r="B103" s="132"/>
      <c r="C103" s="132"/>
      <c r="D103" s="132"/>
      <c r="E103" s="132"/>
      <c r="F103" s="132"/>
      <c r="O103" s="57"/>
      <c r="P103" s="57"/>
      <c r="Q103" s="57"/>
      <c r="R103" s="57"/>
      <c r="S103" s="57"/>
      <c r="T103" s="57"/>
      <c r="U103" s="57"/>
      <c r="V103" s="57"/>
      <c r="W103" s="57"/>
      <c r="X103" s="57"/>
      <c r="Y103" s="57"/>
      <c r="Z103" s="57"/>
      <c r="AA103" s="57"/>
      <c r="AB103" s="57"/>
      <c r="AC103" s="57"/>
      <c r="AD103" s="57"/>
      <c r="AE103" s="57"/>
      <c r="AF103" s="57"/>
      <c r="AG103" s="57"/>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row>
    <row r="104" spans="1:55" ht="15.75">
      <c r="A104" s="427"/>
      <c r="B104" s="132"/>
      <c r="C104" s="132"/>
      <c r="D104" s="132"/>
      <c r="E104" s="132"/>
      <c r="F104" s="132"/>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row>
    <row r="105" spans="1:55" ht="15.75">
      <c r="A105" s="131"/>
      <c r="B105" s="132"/>
      <c r="C105" s="132"/>
      <c r="D105" s="132"/>
      <c r="E105" s="132"/>
      <c r="F105" s="132"/>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row>
    <row r="106" spans="1:55">
      <c r="A106" s="86"/>
      <c r="B106" s="86"/>
      <c r="C106" s="86"/>
      <c r="D106" s="86"/>
      <c r="E106" s="86"/>
      <c r="F106" s="86"/>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row>
    <row r="107" spans="1:55" ht="23.25">
      <c r="A107" s="129"/>
      <c r="B107" s="151"/>
      <c r="C107" s="151"/>
      <c r="D107" s="151"/>
      <c r="E107" s="151"/>
      <c r="F107" s="151"/>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row>
    <row r="108" spans="1:55">
      <c r="A108" s="86"/>
      <c r="B108" s="86"/>
      <c r="C108" s="86"/>
      <c r="D108" s="86"/>
      <c r="E108" s="86"/>
      <c r="F108" s="425"/>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row>
    <row r="109" spans="1:55" ht="15.75">
      <c r="A109" s="131"/>
      <c r="B109" s="132"/>
      <c r="C109" s="132"/>
      <c r="D109" s="132"/>
      <c r="E109" s="132"/>
      <c r="F109" s="428"/>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row>
    <row r="110" spans="1:55" ht="15.75">
      <c r="A110" s="427"/>
      <c r="B110" s="132"/>
      <c r="C110" s="132"/>
      <c r="D110" s="132"/>
      <c r="E110" s="132"/>
      <c r="F110" s="428"/>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row>
    <row r="111" spans="1:55" ht="15.75">
      <c r="A111" s="131"/>
      <c r="B111" s="132"/>
      <c r="C111" s="132"/>
      <c r="D111" s="132"/>
      <c r="E111" s="132"/>
      <c r="F111" s="428"/>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row>
    <row r="112" spans="1:55" ht="40.5">
      <c r="A112" s="152"/>
      <c r="B112" s="86"/>
      <c r="C112" s="86"/>
      <c r="D112" s="86"/>
      <c r="E112" s="86"/>
      <c r="F112" s="425"/>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row>
    <row r="113" spans="1:41" ht="23.25">
      <c r="A113" s="86"/>
      <c r="B113" s="129"/>
      <c r="C113" s="129"/>
      <c r="D113" s="129"/>
      <c r="E113" s="86"/>
      <c r="F113" s="86"/>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row>
    <row r="114" spans="1:41" ht="15.75">
      <c r="A114" s="131"/>
      <c r="B114" s="132"/>
      <c r="C114" s="132"/>
      <c r="D114" s="132"/>
      <c r="E114" s="86"/>
      <c r="F114" s="86"/>
    </row>
    <row r="115" spans="1:41" ht="15.75">
      <c r="A115" s="427"/>
      <c r="B115" s="132"/>
      <c r="C115" s="132"/>
      <c r="D115" s="132"/>
      <c r="E115" s="86"/>
      <c r="F115" s="86"/>
    </row>
    <row r="116" spans="1:41" ht="15" customHeight="1">
      <c r="A116" s="131"/>
      <c r="B116" s="132"/>
      <c r="C116" s="132"/>
      <c r="D116" s="132"/>
      <c r="E116" s="86"/>
      <c r="F116" s="86"/>
    </row>
    <row r="117" spans="1:41" ht="38.25">
      <c r="A117" s="153"/>
      <c r="B117" s="150"/>
      <c r="C117" s="86"/>
      <c r="D117" s="86"/>
      <c r="E117" s="86"/>
      <c r="F117" s="86"/>
    </row>
    <row r="118" spans="1:41" ht="23.25">
      <c r="A118" s="132"/>
      <c r="B118" s="129"/>
      <c r="C118" s="129"/>
      <c r="D118" s="129"/>
      <c r="E118" s="86"/>
      <c r="F118" s="86"/>
    </row>
    <row r="119" spans="1:41">
      <c r="A119" s="86"/>
      <c r="B119" s="150"/>
      <c r="C119" s="86"/>
      <c r="D119" s="86"/>
      <c r="E119" s="86"/>
      <c r="F119" s="86"/>
    </row>
    <row r="120" spans="1:41" ht="15.75">
      <c r="A120" s="131"/>
      <c r="B120" s="132"/>
      <c r="C120" s="132"/>
      <c r="D120" s="132"/>
      <c r="E120" s="86"/>
      <c r="F120" s="86"/>
    </row>
    <row r="121" spans="1:41" ht="15.75">
      <c r="A121" s="427"/>
      <c r="B121" s="132"/>
      <c r="C121" s="132"/>
      <c r="D121" s="132"/>
      <c r="E121" s="86"/>
      <c r="F121" s="86"/>
    </row>
    <row r="122" spans="1:41" ht="15.75">
      <c r="A122" s="131"/>
      <c r="B122" s="132"/>
      <c r="C122" s="132"/>
      <c r="D122" s="132"/>
      <c r="E122" s="150"/>
      <c r="F122" s="86"/>
    </row>
    <row r="123" spans="1:41" ht="45">
      <c r="A123" s="138"/>
      <c r="B123" s="86"/>
      <c r="C123" s="86"/>
      <c r="D123" s="86"/>
      <c r="E123" s="86"/>
      <c r="F123" s="86"/>
    </row>
    <row r="124" spans="1:41" ht="18.75" customHeight="1">
      <c r="A124" s="428"/>
      <c r="B124" s="129"/>
      <c r="C124" s="129"/>
      <c r="D124" s="129"/>
      <c r="E124" s="86"/>
      <c r="F124" s="86"/>
    </row>
    <row r="125" spans="1:41" ht="15.75">
      <c r="A125" s="131"/>
      <c r="B125" s="132"/>
      <c r="C125" s="132"/>
      <c r="D125" s="132"/>
      <c r="E125" s="86"/>
      <c r="F125" s="86"/>
    </row>
    <row r="126" spans="1:41" ht="15.75">
      <c r="A126" s="427"/>
      <c r="B126" s="428"/>
      <c r="C126" s="132"/>
      <c r="D126" s="132"/>
      <c r="E126" s="86"/>
      <c r="F126" s="86"/>
    </row>
    <row r="127" spans="1:41" ht="15.75">
      <c r="A127" s="131"/>
      <c r="B127" s="428"/>
      <c r="C127" s="132"/>
      <c r="D127" s="132"/>
      <c r="E127" s="86"/>
      <c r="F127" s="86"/>
    </row>
    <row r="128" spans="1:41">
      <c r="A128" s="28"/>
      <c r="B128" s="28"/>
      <c r="C128" s="28"/>
      <c r="D128" s="28"/>
      <c r="E128" s="28"/>
      <c r="F128" s="28"/>
    </row>
    <row r="129" spans="1:6">
      <c r="A129" s="28"/>
      <c r="B129" s="28"/>
      <c r="C129" s="28"/>
      <c r="D129" s="28"/>
      <c r="E129" s="28"/>
      <c r="F129" s="28"/>
    </row>
    <row r="130" spans="1:6">
      <c r="A130" s="28"/>
      <c r="B130" s="28"/>
      <c r="C130" s="28"/>
      <c r="D130" s="28"/>
      <c r="E130" s="28"/>
      <c r="F130" s="28"/>
    </row>
    <row r="131" spans="1:6" ht="17.25" customHeight="1">
      <c r="A131" s="28"/>
      <c r="B131" s="28"/>
      <c r="C131" s="28"/>
      <c r="D131" s="28"/>
      <c r="E131" s="28"/>
      <c r="F131" s="28"/>
    </row>
    <row r="269" spans="59:59">
      <c r="BG269" s="5">
        <f>IF(I56=V87,BI268,IF(I56=V88,BJ268,IF(I56=V89,BK268,IF(I56=V90,BL268,IF(I56=V91,BM268,0)))))</f>
        <v>0</v>
      </c>
    </row>
  </sheetData>
  <sheetProtection password="F7EB" sheet="1" objects="1" scenarios="1"/>
  <mergeCells count="42">
    <mergeCell ref="E11:E12"/>
    <mergeCell ref="F11:F12"/>
    <mergeCell ref="G11:H11"/>
    <mergeCell ref="G12:H12"/>
    <mergeCell ref="A1:F1"/>
    <mergeCell ref="A7:B7"/>
    <mergeCell ref="C7:D7"/>
    <mergeCell ref="G8:H8"/>
    <mergeCell ref="G10:H10"/>
    <mergeCell ref="G13:H13"/>
    <mergeCell ref="E14:F14"/>
    <mergeCell ref="E20:F20"/>
    <mergeCell ref="E21:F21"/>
    <mergeCell ref="E25:F25"/>
    <mergeCell ref="AG50:AG53"/>
    <mergeCell ref="AI50:AI53"/>
    <mergeCell ref="AJ50:AJ53"/>
    <mergeCell ref="AK50:AK53"/>
    <mergeCell ref="AA54:AA55"/>
    <mergeCell ref="AB54:AB55"/>
    <mergeCell ref="AC54:AC55"/>
    <mergeCell ref="AE54:AE55"/>
    <mergeCell ref="AF54:AF55"/>
    <mergeCell ref="AG54:AG55"/>
    <mergeCell ref="AF50:AF53"/>
    <mergeCell ref="AA50:AA53"/>
    <mergeCell ref="AB50:AB53"/>
    <mergeCell ref="AC50:AC53"/>
    <mergeCell ref="AE50:AE53"/>
    <mergeCell ref="AJ56:AJ59"/>
    <mergeCell ref="AK56:AK59"/>
    <mergeCell ref="AA67:AD67"/>
    <mergeCell ref="AI54:AI55"/>
    <mergeCell ref="AJ54:AJ55"/>
    <mergeCell ref="AK54:AK55"/>
    <mergeCell ref="AA56:AA59"/>
    <mergeCell ref="AB56:AB59"/>
    <mergeCell ref="AC56:AC59"/>
    <mergeCell ref="AE56:AE59"/>
    <mergeCell ref="AF56:AF59"/>
    <mergeCell ref="AG56:AG59"/>
    <mergeCell ref="AI56:AI59"/>
  </mergeCells>
  <conditionalFormatting sqref="A21:B22 C5:D5">
    <cfRule type="expression" dxfId="4" priority="1">
      <formula>$B$4="Package Policy"</formula>
    </cfRule>
  </conditionalFormatting>
  <dataValidations count="10">
    <dataValidation type="list" operator="equal" allowBlank="1" sqref="D5">
      <formula1>"&lt;=1500,&gt;1500"</formula1>
      <formula2>0</formula2>
    </dataValidation>
    <dataValidation type="list" operator="equal" allowBlank="1" showErrorMessage="1" sqref="B6">
      <formula1>"0,20,25,35,45,50"</formula1>
      <formula2>0</formula2>
    </dataValidation>
    <dataValidation type="list" operator="equal" allowBlank="1" showErrorMessage="1" sqref="B5">
      <formula1>INDIRECT(R76)</formula1>
    </dataValidation>
    <dataValidation type="list" operator="equal" allowBlank="1" showInputMessage="1" showErrorMessage="1" sqref="D3 F6">
      <formula1>"Yes,No"</formula1>
      <formula2>0</formula2>
    </dataValidation>
    <dataValidation type="list" operator="equal" allowBlank="1" showErrorMessage="1" sqref="B3">
      <formula1>"Zone A,Zone B,Zone C"</formula1>
      <formula2>0</formula2>
    </dataValidation>
    <dataValidation type="list" operator="equal" allowBlank="1" sqref="P51">
      <formula1>"&lt;5,5 to 7,&gt;7"</formula1>
      <formula2>0</formula2>
    </dataValidation>
    <dataValidation operator="equal" allowBlank="1" showErrorMessage="1" promptTitle="When Cover B is Selected &quot;IMT 23 Required&quot;? should be &quot;Yes&quot;" prompt="=IF(AND(B8=&quot;B&quot;;D4=&quot;YES&quot;))" sqref="H4">
      <formula1>0</formula1>
      <formula2>0</formula2>
    </dataValidation>
    <dataValidation type="list" operator="equal" allowBlank="1" showErrorMessage="1" sqref="F2 H2 F4 H5">
      <formula1>"Yes,No"</formula1>
      <formula2>0</formula2>
    </dataValidation>
    <dataValidation type="list" operator="equal" allowBlank="1" showErrorMessage="1" sqref="B4">
      <formula1>"Package Policy, Enhancement Policy"</formula1>
    </dataValidation>
    <dataValidation type="list" allowBlank="1" showInputMessage="1" showErrorMessage="1" sqref="D8">
      <formula1>"13874,14494"</formula1>
    </dataValidation>
  </dataValidations>
  <hyperlinks>
    <hyperlink ref="G8" location="Motor Home Page" display="#Motor Home Page"/>
  </hyperlinks>
  <pageMargins left="0.78740157480314965" right="0.78740157480314965" top="1.0236220472440944" bottom="1.0236220472440944" header="0.78740157480314965" footer="0.78740157480314965"/>
  <pageSetup scale="71" firstPageNumber="0" orientation="landscape" horizontalDpi="300" verticalDpi="300" r:id="rId1"/>
  <headerFooter alignWithMargins="0">
    <oddHeader>&amp;CDesigned By Prashanth Komarraju</oddHeader>
    <oddFooter>&amp;CPage &amp;P</oddFooter>
  </headerFooter>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31"/>
  <sheetViews>
    <sheetView tabSelected="1" zoomScaleNormal="100" zoomScaleSheetLayoutView="33" workbookViewId="0">
      <selection activeCell="I42" sqref="I42"/>
    </sheetView>
  </sheetViews>
  <sheetFormatPr defaultColWidth="9.42578125" defaultRowHeight="15"/>
  <cols>
    <col min="1" max="1" width="29.42578125" style="5" customWidth="1"/>
    <col min="2" max="2" width="24.7109375" style="5" customWidth="1"/>
    <col min="3" max="3" width="29.7109375" style="5" customWidth="1"/>
    <col min="4" max="4" width="16.28515625" style="5" customWidth="1"/>
    <col min="5" max="5" width="33.28515625" style="5" customWidth="1"/>
    <col min="6" max="6" width="15.140625" style="5" customWidth="1"/>
    <col min="7" max="7" width="4.7109375" style="5" customWidth="1"/>
    <col min="8" max="8" width="15.85546875" style="5" customWidth="1"/>
    <col min="9" max="9" width="14.42578125" style="5" customWidth="1"/>
    <col min="10" max="10" width="24.42578125" style="5" customWidth="1"/>
    <col min="11" max="11" width="9.42578125" style="5"/>
    <col min="12" max="12" width="15.7109375" style="5" customWidth="1"/>
    <col min="13" max="13" width="18.140625" style="5" customWidth="1"/>
    <col min="14" max="14" width="9.42578125" style="5"/>
    <col min="15" max="15" width="11.42578125" style="5" customWidth="1"/>
    <col min="16" max="16" width="11.28515625" style="5" customWidth="1"/>
    <col min="17" max="16384" width="9.42578125" style="5"/>
  </cols>
  <sheetData>
    <row r="1" spans="1:9" s="7" customFormat="1" ht="35.1" customHeight="1" thickBot="1">
      <c r="A1" s="1078" t="s">
        <v>287</v>
      </c>
      <c r="B1" s="1078"/>
      <c r="C1" s="1078"/>
      <c r="D1" s="1078"/>
      <c r="E1" s="1078"/>
      <c r="F1" s="1078"/>
      <c r="G1" s="161"/>
      <c r="H1" s="1079" t="s">
        <v>5</v>
      </c>
      <c r="I1" s="1079"/>
    </row>
    <row r="2" spans="1:9" ht="35.25" customHeight="1">
      <c r="A2" s="385" t="s">
        <v>6</v>
      </c>
      <c r="B2" s="380">
        <v>1600000</v>
      </c>
      <c r="C2" s="386" t="s">
        <v>260</v>
      </c>
      <c r="D2" s="380">
        <v>45500</v>
      </c>
      <c r="E2" s="471" t="s">
        <v>261</v>
      </c>
      <c r="F2" s="380">
        <v>0</v>
      </c>
      <c r="G2" s="112"/>
      <c r="H2" s="1080" t="s">
        <v>9</v>
      </c>
      <c r="I2" s="1080"/>
    </row>
    <row r="3" spans="1:9" ht="23.25" customHeight="1">
      <c r="A3" s="385" t="s">
        <v>148</v>
      </c>
      <c r="B3" s="472" t="s">
        <v>46</v>
      </c>
      <c r="C3" s="385" t="s">
        <v>149</v>
      </c>
      <c r="D3" s="473">
        <v>75</v>
      </c>
      <c r="E3" s="386" t="s">
        <v>150</v>
      </c>
      <c r="F3" s="473" t="s">
        <v>50</v>
      </c>
      <c r="G3" s="112"/>
      <c r="H3" s="1081" t="s">
        <v>15</v>
      </c>
      <c r="I3" s="1081"/>
    </row>
    <row r="4" spans="1:9" ht="38.25" customHeight="1">
      <c r="A4" s="386" t="s">
        <v>512</v>
      </c>
      <c r="B4" s="762" t="s">
        <v>658</v>
      </c>
      <c r="C4" s="386" t="s">
        <v>152</v>
      </c>
      <c r="D4" s="474" t="str">
        <f>IF(D5="B","Yes","No")</f>
        <v>No</v>
      </c>
      <c r="E4" s="475" t="s">
        <v>153</v>
      </c>
      <c r="F4" s="476">
        <v>2</v>
      </c>
      <c r="G4" s="112"/>
      <c r="H4" s="1081" t="s">
        <v>632</v>
      </c>
      <c r="I4" s="1081"/>
    </row>
    <row r="5" spans="1:9" ht="30.95" customHeight="1">
      <c r="A5" s="386" t="s">
        <v>151</v>
      </c>
      <c r="B5" s="513" t="s">
        <v>336</v>
      </c>
      <c r="C5" s="763" t="s">
        <v>196</v>
      </c>
      <c r="D5" s="764" t="s">
        <v>197</v>
      </c>
      <c r="E5" s="478" t="s">
        <v>262</v>
      </c>
      <c r="F5" s="380">
        <v>1</v>
      </c>
      <c r="G5" s="112"/>
      <c r="H5" s="1081" t="s">
        <v>483</v>
      </c>
      <c r="I5" s="1081"/>
    </row>
    <row r="6" spans="1:9" ht="36" customHeight="1">
      <c r="A6" s="385" t="s">
        <v>154</v>
      </c>
      <c r="B6" s="477">
        <v>0</v>
      </c>
      <c r="C6" s="366" t="s">
        <v>455</v>
      </c>
      <c r="D6" s="380">
        <v>0</v>
      </c>
      <c r="E6" s="386" t="s">
        <v>152</v>
      </c>
      <c r="F6" s="473" t="s">
        <v>50</v>
      </c>
      <c r="G6" s="112"/>
      <c r="H6" s="112"/>
    </row>
    <row r="7" spans="1:9" ht="28.5" customHeight="1">
      <c r="A7" s="393" t="s">
        <v>486</v>
      </c>
      <c r="B7" s="473" t="s">
        <v>50</v>
      </c>
      <c r="C7" s="386" t="s">
        <v>493</v>
      </c>
      <c r="D7" s="380">
        <v>0</v>
      </c>
      <c r="E7" s="199"/>
      <c r="F7" s="200"/>
      <c r="G7" s="112"/>
      <c r="H7" s="85"/>
    </row>
    <row r="8" spans="1:9" ht="11.25" hidden="1" customHeight="1" thickBot="1">
      <c r="A8" s="358"/>
      <c r="B8" s="358"/>
      <c r="C8" s="201"/>
      <c r="D8" s="201"/>
      <c r="E8" s="202"/>
      <c r="F8" s="203"/>
      <c r="G8" s="112"/>
      <c r="H8" s="85"/>
    </row>
    <row r="9" spans="1:9" ht="21.75" customHeight="1">
      <c r="A9" s="1082" t="s">
        <v>155</v>
      </c>
      <c r="B9" s="1082"/>
      <c r="C9" s="1083" t="s">
        <v>156</v>
      </c>
      <c r="D9" s="1083"/>
      <c r="E9" s="17"/>
      <c r="F9" s="17"/>
      <c r="G9" s="15"/>
    </row>
    <row r="10" spans="1:9" ht="18.75" customHeight="1">
      <c r="A10" s="616" t="s">
        <v>23</v>
      </c>
      <c r="B10" s="617">
        <f>IF($B$3="zone a",$P$64,IF($B$3="zone b",$P$65,IF($B$3="zone c",$P$66,0)))</f>
        <v>1.7509999999999999</v>
      </c>
      <c r="C10" s="479" t="s">
        <v>158</v>
      </c>
      <c r="D10" s="480">
        <f>IF(OR(B4="Public Package",B4="Public Enhancement"),R86,R87)</f>
        <v>41561</v>
      </c>
      <c r="E10" s="117"/>
      <c r="F10" s="117"/>
      <c r="G10" s="15"/>
      <c r="H10" s="1084" t="s">
        <v>589</v>
      </c>
      <c r="I10" s="1084"/>
    </row>
    <row r="11" spans="1:9">
      <c r="A11" s="618" t="s">
        <v>513</v>
      </c>
      <c r="B11" s="618">
        <f>B10*(1-D3%)</f>
        <v>0.43774999999999997</v>
      </c>
      <c r="C11" s="481" t="s">
        <v>160</v>
      </c>
      <c r="D11" s="480">
        <f>IF($F$3="yes",275,0)</f>
        <v>0</v>
      </c>
      <c r="E11" s="86"/>
      <c r="F11" s="86"/>
      <c r="G11" s="15"/>
      <c r="H11" s="1084"/>
      <c r="I11" s="1084"/>
    </row>
    <row r="12" spans="1:9" ht="32.25" customHeight="1">
      <c r="A12" s="619" t="s">
        <v>157</v>
      </c>
      <c r="B12" s="620">
        <f>$B$2*$B$11%</f>
        <v>7003.9999999999991</v>
      </c>
      <c r="C12" s="481" t="s">
        <v>264</v>
      </c>
      <c r="D12" s="480">
        <f>$F$4*50</f>
        <v>100</v>
      </c>
      <c r="E12" s="117"/>
      <c r="F12" s="117"/>
      <c r="G12" s="15"/>
    </row>
    <row r="13" spans="1:9" ht="17.100000000000001" customHeight="1" thickBot="1">
      <c r="A13" s="618" t="s">
        <v>263</v>
      </c>
      <c r="B13" s="617">
        <f>IF($L$60="&lt;7500",0,IF($L$60="7501-12000",0,IF(OR($L$60="12001-20000",$L$60="20001-40000",$L$60="&gt;40000"),ROUNDUP(($D$2-12000)/100,0)*27*(1-D3%),0)))</f>
        <v>2261.25</v>
      </c>
      <c r="C13" s="481" t="s">
        <v>267</v>
      </c>
      <c r="D13" s="480">
        <f>$F$5*75</f>
        <v>75</v>
      </c>
      <c r="E13" s="17"/>
      <c r="F13" s="17"/>
      <c r="G13" s="15"/>
    </row>
    <row r="14" spans="1:9" ht="16.5" thickBot="1">
      <c r="A14" s="618" t="s">
        <v>265</v>
      </c>
      <c r="B14" s="621">
        <f>SUM($B$12:$B$13)</f>
        <v>9265.25</v>
      </c>
      <c r="C14" s="481" t="s">
        <v>487</v>
      </c>
      <c r="D14" s="517">
        <f>IF(AND($B$7="No",D6=0),0,60)</f>
        <v>0</v>
      </c>
      <c r="E14" s="485" t="s">
        <v>163</v>
      </c>
      <c r="F14" s="486">
        <f>SUM($D$16:$D$17)</f>
        <v>68183.4902</v>
      </c>
      <c r="G14" s="15"/>
    </row>
    <row r="15" spans="1:9" ht="15.75">
      <c r="A15" s="622" t="s">
        <v>266</v>
      </c>
      <c r="B15" s="623">
        <f>$F$2*0.04*(1-D3%)</f>
        <v>0</v>
      </c>
      <c r="C15" s="483" t="s">
        <v>166</v>
      </c>
      <c r="D15" s="484">
        <f>SUM($D$10:$D$14)</f>
        <v>41736</v>
      </c>
      <c r="E15" s="187"/>
      <c r="F15" s="188"/>
      <c r="G15" s="15"/>
    </row>
    <row r="16" spans="1:9">
      <c r="A16" s="622" t="s">
        <v>268</v>
      </c>
      <c r="B16" s="624">
        <f>IF(B7="Yes",(B12+B15)*0.05,D6*0.04*(1-D3%))</f>
        <v>0</v>
      </c>
      <c r="C16" s="481" t="s">
        <v>33</v>
      </c>
      <c r="D16" s="480">
        <f>$D$15+$B$23</f>
        <v>59895.89</v>
      </c>
      <c r="E16" s="123"/>
      <c r="F16" s="117"/>
      <c r="G16" s="15"/>
    </row>
    <row r="17" spans="1:16" ht="15.75" thickBot="1">
      <c r="A17" s="625" t="s">
        <v>167</v>
      </c>
      <c r="B17" s="626">
        <f>IF(OR(B4="Public Enhancement",B4="Private Enhancement"),IF($D$4="yes",0.15*(B14+B15+B16),0),IF(F6="yes",0.15*(B14+B15+B16),0))</f>
        <v>0</v>
      </c>
      <c r="C17" s="487" t="s">
        <v>169</v>
      </c>
      <c r="D17" s="488">
        <f>(D10+D14)*12%+(D11+D12+D13+B23)*18%</f>
        <v>8287.6001999999989</v>
      </c>
      <c r="E17" s="123"/>
      <c r="F17" s="86"/>
      <c r="G17" s="15"/>
    </row>
    <row r="18" spans="1:16" ht="18" customHeight="1">
      <c r="A18" s="618" t="s">
        <v>489</v>
      </c>
      <c r="B18" s="627">
        <f>0.075*D7</f>
        <v>0</v>
      </c>
      <c r="D18" s="17"/>
      <c r="E18" s="1044"/>
      <c r="F18" s="1044"/>
      <c r="G18" s="15"/>
    </row>
    <row r="19" spans="1:16" ht="18" customHeight="1">
      <c r="A19" s="618" t="s">
        <v>32</v>
      </c>
      <c r="B19" s="621">
        <f>B14+B15+B16+B17+B18</f>
        <v>9265.25</v>
      </c>
      <c r="C19" s="17"/>
      <c r="D19" s="17"/>
      <c r="E19" s="1042"/>
      <c r="F19" s="1042"/>
      <c r="G19" s="15"/>
    </row>
    <row r="20" spans="1:16" ht="15.75">
      <c r="A20" s="628" t="s">
        <v>271</v>
      </c>
      <c r="B20" s="629">
        <f>$B$6%*(B19)</f>
        <v>0</v>
      </c>
      <c r="C20" s="17"/>
      <c r="D20" s="86"/>
      <c r="E20" s="636"/>
      <c r="F20" s="367"/>
      <c r="G20" s="15"/>
    </row>
    <row r="21" spans="1:16" ht="15.75">
      <c r="A21" s="628" t="s">
        <v>289</v>
      </c>
      <c r="B21" s="630">
        <f>IF($D$2&gt;40000,$N$80,IF($D$2&gt;25000,$N$76,IF($D$2&gt;0,$N$72,0)))</f>
        <v>24</v>
      </c>
      <c r="C21" s="633"/>
      <c r="D21" s="130"/>
      <c r="E21" s="636"/>
      <c r="F21" s="637"/>
    </row>
    <row r="22" spans="1:16" ht="15.75">
      <c r="A22" s="628" t="s">
        <v>86</v>
      </c>
      <c r="B22" s="629">
        <f>IF($D$2&gt;40000,$M$80,IF($D$2&gt;25000,$M$76,IF($D$2&gt;0,$M$72,0)))</f>
        <v>8894.64</v>
      </c>
      <c r="C22" s="130"/>
      <c r="D22" s="132"/>
      <c r="E22" s="638"/>
      <c r="F22" s="639"/>
      <c r="G22" s="15"/>
    </row>
    <row r="23" spans="1:16" ht="19.5" customHeight="1">
      <c r="A23" s="631" t="s">
        <v>35</v>
      </c>
      <c r="B23" s="632">
        <f>B19-$B$20+$B$22</f>
        <v>18159.89</v>
      </c>
      <c r="C23" s="132"/>
      <c r="D23" s="132"/>
      <c r="E23" s="1056"/>
      <c r="F23" s="1056"/>
      <c r="G23" s="15"/>
    </row>
    <row r="24" spans="1:16" ht="15.75">
      <c r="C24" s="132"/>
      <c r="D24" s="132"/>
      <c r="E24" s="640"/>
      <c r="F24" s="367"/>
      <c r="G24" s="15"/>
    </row>
    <row r="25" spans="1:16" ht="33" customHeight="1">
      <c r="A25" s="779"/>
      <c r="B25" s="779"/>
      <c r="C25" s="644"/>
      <c r="D25" s="86"/>
      <c r="E25" s="104"/>
      <c r="F25" s="634"/>
      <c r="G25" s="15"/>
    </row>
    <row r="26" spans="1:16" ht="17.25">
      <c r="A26" s="646"/>
      <c r="B26" s="646"/>
      <c r="C26" s="634"/>
      <c r="D26" s="86"/>
      <c r="E26" s="1062"/>
      <c r="F26" s="1062"/>
    </row>
    <row r="27" spans="1:16" ht="30" customHeight="1">
      <c r="A27" s="260"/>
      <c r="B27" s="260"/>
      <c r="C27" s="645"/>
      <c r="D27" s="134"/>
      <c r="E27" s="641"/>
      <c r="F27" s="642"/>
    </row>
    <row r="28" spans="1:16" ht="32.85" customHeight="1">
      <c r="A28" s="358"/>
      <c r="B28" s="358"/>
      <c r="C28" s="130"/>
      <c r="D28" s="132"/>
      <c r="E28" s="643"/>
      <c r="F28" s="642"/>
    </row>
    <row r="29" spans="1:16" ht="15.4" customHeight="1">
      <c r="A29" s="427"/>
      <c r="B29" s="130"/>
      <c r="C29" s="130"/>
      <c r="D29" s="130"/>
      <c r="E29" s="635"/>
      <c r="F29" s="634"/>
      <c r="G29" s="136"/>
    </row>
    <row r="30" spans="1:16" ht="17.25" customHeight="1">
      <c r="A30" s="131"/>
      <c r="B30" s="132"/>
      <c r="C30" s="132"/>
      <c r="D30" s="132"/>
      <c r="E30" s="132"/>
      <c r="F30" s="86"/>
      <c r="G30" s="136"/>
    </row>
    <row r="31" spans="1:16">
      <c r="A31" s="86"/>
      <c r="B31" s="86"/>
      <c r="C31" s="86"/>
      <c r="D31" s="86"/>
      <c r="E31" s="86"/>
      <c r="F31" s="86"/>
      <c r="G31" s="136"/>
    </row>
    <row r="32" spans="1:16" ht="23.25">
      <c r="A32" s="129"/>
      <c r="B32" s="117"/>
      <c r="C32" s="117"/>
      <c r="D32" s="117"/>
      <c r="E32" s="117"/>
      <c r="F32" s="86"/>
      <c r="G32" s="136"/>
      <c r="J32" s="496"/>
      <c r="K32" s="496">
        <f>IF(F6="Yes",70,60)</f>
        <v>60</v>
      </c>
      <c r="L32" s="496" t="s">
        <v>484</v>
      </c>
      <c r="M32" s="496" t="str">
        <f>CONCATENATE(K32,L32)</f>
        <v>60% of (Basic + Addon)</v>
      </c>
      <c r="N32" s="496"/>
      <c r="O32" s="496"/>
      <c r="P32" s="496"/>
    </row>
    <row r="33" spans="1:33">
      <c r="A33" s="117"/>
      <c r="B33" s="134"/>
      <c r="C33" s="134"/>
      <c r="D33" s="134"/>
      <c r="E33" s="134"/>
      <c r="F33" s="86"/>
      <c r="J33" s="496"/>
      <c r="K33" s="496"/>
      <c r="L33" s="496"/>
      <c r="M33" s="496"/>
      <c r="N33" s="496"/>
      <c r="O33" s="496"/>
      <c r="P33" s="496"/>
    </row>
    <row r="34" spans="1:33" ht="27.75" customHeight="1">
      <c r="A34" s="131"/>
      <c r="B34" s="130"/>
      <c r="C34" s="130"/>
      <c r="D34" s="130"/>
      <c r="E34" s="130"/>
      <c r="F34" s="86"/>
      <c r="J34" s="496"/>
      <c r="K34" s="494" t="s">
        <v>473</v>
      </c>
      <c r="L34" s="495">
        <f>ROUND(B23-F24,0)</f>
        <v>18160</v>
      </c>
      <c r="M34" s="496"/>
      <c r="N34" s="496"/>
      <c r="O34" s="496"/>
      <c r="P34" s="496"/>
    </row>
    <row r="35" spans="1:33" ht="15.75">
      <c r="A35" s="427"/>
      <c r="B35" s="137"/>
      <c r="C35" s="137"/>
      <c r="D35" s="137"/>
      <c r="E35" s="130"/>
      <c r="F35" s="86"/>
      <c r="J35" s="496"/>
      <c r="K35" s="494" t="str">
        <f>CONCATENATE(K34,L34)</f>
        <v>You still have a cushion / buffer of Rs. 18160</v>
      </c>
      <c r="L35" s="494"/>
      <c r="M35" s="496"/>
      <c r="N35" s="496"/>
      <c r="O35" s="496"/>
      <c r="P35" s="496"/>
    </row>
    <row r="36" spans="1:33" ht="15.75">
      <c r="A36" s="131"/>
      <c r="B36" s="137"/>
      <c r="C36" s="130"/>
      <c r="D36" s="130"/>
      <c r="E36" s="130"/>
      <c r="F36" s="86"/>
      <c r="G36" s="136"/>
      <c r="J36" s="496"/>
      <c r="K36" s="494" t="s">
        <v>474</v>
      </c>
      <c r="L36" s="494"/>
      <c r="M36" s="496"/>
      <c r="N36" s="496"/>
      <c r="O36" s="496"/>
      <c r="P36" s="496"/>
    </row>
    <row r="37" spans="1:33" ht="15.75" customHeight="1">
      <c r="A37" s="427"/>
      <c r="B37" s="132"/>
      <c r="C37" s="132"/>
      <c r="D37" s="132"/>
      <c r="E37" s="86"/>
      <c r="F37" s="86"/>
      <c r="G37" s="136"/>
      <c r="J37" s="496"/>
      <c r="K37" s="494" t="s">
        <v>475</v>
      </c>
      <c r="L37" s="494">
        <f>-(L34)</f>
        <v>-18160</v>
      </c>
      <c r="M37" s="494" t="s">
        <v>476</v>
      </c>
      <c r="N37" s="496"/>
      <c r="O37" s="496"/>
      <c r="P37" s="496"/>
    </row>
    <row r="38" spans="1:33" ht="15.75">
      <c r="A38" s="131"/>
      <c r="B38" s="130"/>
      <c r="C38" s="130"/>
      <c r="D38" s="130"/>
      <c r="E38" s="86"/>
      <c r="F38" s="86"/>
      <c r="G38" s="136"/>
      <c r="J38" s="496"/>
      <c r="K38" s="494" t="str">
        <f>CONCATENATE(K37,L37,M37)</f>
        <v>You have crossed the maximum Discount by Rs. -18160. Kindly Reduce the disc %</v>
      </c>
      <c r="L38" s="494"/>
      <c r="M38" s="496"/>
      <c r="N38" s="496"/>
      <c r="O38" s="496"/>
      <c r="P38" s="496"/>
    </row>
    <row r="39" spans="1:33">
      <c r="A39" s="117"/>
      <c r="B39" s="132"/>
      <c r="C39" s="132"/>
      <c r="D39" s="132"/>
      <c r="E39" s="86"/>
      <c r="F39" s="86"/>
      <c r="G39" s="136"/>
      <c r="J39" s="496"/>
      <c r="K39" s="496"/>
      <c r="L39" s="496"/>
      <c r="M39" s="496"/>
      <c r="N39" s="496"/>
      <c r="O39" s="496"/>
      <c r="P39" s="496"/>
    </row>
    <row r="40" spans="1:33" ht="36.75" customHeight="1">
      <c r="A40" s="138"/>
      <c r="B40" s="86"/>
      <c r="C40" s="123"/>
      <c r="D40" s="123"/>
      <c r="E40" s="86"/>
      <c r="F40" s="86"/>
      <c r="J40" s="496"/>
      <c r="K40" s="496"/>
      <c r="L40" s="496"/>
      <c r="M40" s="496"/>
      <c r="N40" s="496"/>
      <c r="O40" s="496"/>
      <c r="P40" s="496"/>
    </row>
    <row r="41" spans="1:33" ht="22.5" customHeight="1">
      <c r="A41" s="117"/>
      <c r="B41" s="139"/>
      <c r="C41" s="139"/>
      <c r="D41" s="139"/>
      <c r="E41" s="86"/>
      <c r="F41" s="86"/>
    </row>
    <row r="42" spans="1:33" ht="18" customHeight="1">
      <c r="A42" s="131"/>
      <c r="B42" s="132"/>
      <c r="C42" s="132"/>
      <c r="D42" s="132"/>
      <c r="E42" s="86"/>
      <c r="F42" s="86"/>
    </row>
    <row r="43" spans="1:33" ht="2.25" customHeight="1">
      <c r="A43" s="427"/>
      <c r="B43" s="132"/>
      <c r="C43" s="132"/>
      <c r="D43" s="132"/>
      <c r="E43" s="86"/>
      <c r="F43" s="86"/>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row>
    <row r="44" spans="1:33" ht="15.75" hidden="1">
      <c r="A44" s="131"/>
      <c r="B44" s="132"/>
      <c r="C44" s="132"/>
      <c r="D44" s="132"/>
      <c r="E44" s="86"/>
      <c r="F44" s="86"/>
      <c r="I44" s="715"/>
      <c r="J44" s="715"/>
      <c r="K44" s="715"/>
      <c r="L44" s="715"/>
      <c r="M44" s="715"/>
      <c r="N44" s="715"/>
      <c r="O44" s="715"/>
      <c r="P44" s="715"/>
      <c r="Q44" s="715"/>
      <c r="R44" s="715"/>
      <c r="S44" s="715"/>
      <c r="T44" s="715"/>
      <c r="U44" s="715"/>
      <c r="V44" s="715"/>
      <c r="W44" s="715"/>
      <c r="X44" s="715"/>
      <c r="Y44" s="715"/>
      <c r="Z44" s="715"/>
      <c r="AA44" s="715"/>
      <c r="AB44" s="715"/>
      <c r="AC44" s="715"/>
      <c r="AD44" s="715"/>
      <c r="AE44" s="715"/>
      <c r="AF44" s="715"/>
    </row>
    <row r="45" spans="1:33" ht="36.75" customHeight="1">
      <c r="I45" s="52"/>
      <c r="J45" s="57"/>
      <c r="K45" s="57"/>
      <c r="L45" s="57"/>
      <c r="M45" s="57"/>
      <c r="N45" s="57"/>
      <c r="O45" s="57"/>
      <c r="P45" s="57"/>
      <c r="Q45" s="57"/>
      <c r="R45" s="57"/>
      <c r="S45" s="57"/>
      <c r="T45" s="57"/>
      <c r="U45" s="57"/>
      <c r="V45" s="57"/>
      <c r="W45" s="57"/>
      <c r="X45" s="57"/>
      <c r="Y45" s="57"/>
      <c r="Z45" s="57"/>
      <c r="AA45" s="57"/>
      <c r="AB45" s="57"/>
      <c r="AC45" s="57"/>
      <c r="AD45" s="57"/>
      <c r="AE45" s="57"/>
      <c r="AF45" s="57"/>
      <c r="AG45" s="49"/>
    </row>
    <row r="46" spans="1:33">
      <c r="I46" s="52"/>
      <c r="J46" s="57"/>
      <c r="K46" s="57"/>
      <c r="L46" s="57"/>
      <c r="M46" s="57"/>
      <c r="N46" s="57"/>
      <c r="O46" s="57"/>
      <c r="P46" s="57"/>
      <c r="Q46" s="57"/>
      <c r="R46" s="57"/>
      <c r="S46" s="57"/>
      <c r="T46" s="57"/>
      <c r="U46" s="57"/>
      <c r="V46" s="57"/>
      <c r="W46" s="57"/>
      <c r="X46" s="57"/>
      <c r="Y46" s="57"/>
      <c r="Z46" s="57"/>
      <c r="AA46" s="57"/>
      <c r="AB46" s="57"/>
      <c r="AC46" s="57"/>
      <c r="AD46" s="57"/>
      <c r="AE46" s="57"/>
      <c r="AF46" s="57"/>
      <c r="AG46" s="49"/>
    </row>
    <row r="47" spans="1:33">
      <c r="I47" s="52"/>
      <c r="J47" s="57"/>
      <c r="K47" s="57"/>
      <c r="L47" s="57"/>
      <c r="M47" s="57"/>
      <c r="N47" s="57"/>
      <c r="O47" s="57"/>
      <c r="P47" s="57"/>
      <c r="Q47" s="57"/>
      <c r="R47" s="57"/>
      <c r="S47" s="57"/>
      <c r="T47" s="57"/>
      <c r="U47" s="57"/>
      <c r="V47" s="57"/>
      <c r="W47" s="57"/>
      <c r="X47" s="57"/>
      <c r="Y47" s="57"/>
      <c r="Z47" s="57"/>
      <c r="AA47" s="57"/>
      <c r="AB47" s="57"/>
      <c r="AC47" s="57"/>
      <c r="AD47" s="57"/>
      <c r="AE47" s="57"/>
      <c r="AF47" s="57"/>
      <c r="AG47" s="49"/>
    </row>
    <row r="48" spans="1:33">
      <c r="I48" s="52"/>
      <c r="J48" s="57"/>
      <c r="K48" s="57"/>
      <c r="L48" s="57"/>
      <c r="M48" s="57"/>
      <c r="N48" s="57"/>
      <c r="O48" s="57"/>
      <c r="P48" s="57"/>
      <c r="Q48" s="57"/>
      <c r="R48" s="57"/>
      <c r="S48" s="57"/>
      <c r="T48" s="57"/>
      <c r="U48" s="57"/>
      <c r="V48" s="57"/>
      <c r="W48" s="57"/>
      <c r="X48" s="57"/>
      <c r="Y48" s="57"/>
      <c r="Z48" s="57"/>
      <c r="AA48" s="57"/>
      <c r="AB48" s="57"/>
      <c r="AC48" s="57"/>
      <c r="AD48" s="57"/>
      <c r="AE48" s="57"/>
      <c r="AF48" s="57"/>
      <c r="AG48" s="49"/>
    </row>
    <row r="49" spans="9:38">
      <c r="I49" s="52"/>
      <c r="J49" s="57"/>
      <c r="K49" s="57"/>
      <c r="L49" s="57"/>
      <c r="M49" s="57"/>
      <c r="N49" s="57"/>
      <c r="O49" s="57"/>
      <c r="P49" s="57"/>
      <c r="Q49" s="57"/>
      <c r="R49" s="57"/>
      <c r="S49" s="57"/>
      <c r="T49" s="57"/>
      <c r="U49" s="57"/>
      <c r="V49" s="57"/>
      <c r="W49" s="57"/>
      <c r="X49" s="57"/>
      <c r="Y49" s="57"/>
      <c r="Z49" s="57"/>
      <c r="AA49" s="57"/>
      <c r="AB49" s="57"/>
      <c r="AC49" s="57"/>
      <c r="AD49" s="57"/>
      <c r="AE49" s="57"/>
      <c r="AF49" s="57"/>
      <c r="AG49" s="49"/>
    </row>
    <row r="50" spans="9:38">
      <c r="I50" s="52"/>
      <c r="J50" s="57"/>
      <c r="K50" s="57"/>
      <c r="L50" s="57"/>
      <c r="M50" s="57"/>
      <c r="N50" s="57"/>
      <c r="O50" s="57" t="s">
        <v>272</v>
      </c>
      <c r="P50" s="57"/>
      <c r="Q50" s="57"/>
      <c r="R50" s="57"/>
      <c r="S50" s="57"/>
      <c r="T50" s="57"/>
      <c r="U50" s="57"/>
      <c r="V50" s="57"/>
      <c r="W50" s="57"/>
      <c r="X50" s="57"/>
      <c r="Y50" s="57"/>
      <c r="Z50" s="930"/>
      <c r="AA50" s="930"/>
      <c r="AB50" s="930"/>
      <c r="AC50" s="929"/>
      <c r="AD50" s="929"/>
      <c r="AE50" s="970"/>
      <c r="AF50" s="970"/>
      <c r="AG50" s="1077"/>
      <c r="AH50" s="359"/>
      <c r="AI50" s="1076"/>
      <c r="AJ50" s="1076"/>
      <c r="AK50" s="1075"/>
      <c r="AL50" s="359"/>
    </row>
    <row r="51" spans="9:38">
      <c r="I51" s="52"/>
      <c r="J51" s="57"/>
      <c r="K51" s="57"/>
      <c r="L51" s="57"/>
      <c r="M51" s="57"/>
      <c r="N51" s="57"/>
      <c r="O51" s="57" t="s">
        <v>273</v>
      </c>
      <c r="P51" s="57"/>
      <c r="Q51" s="57"/>
      <c r="R51" s="57"/>
      <c r="S51" s="57"/>
      <c r="T51" s="57"/>
      <c r="U51" s="57"/>
      <c r="V51" s="57"/>
      <c r="W51" s="57"/>
      <c r="X51" s="57">
        <f>IF($B$5="&lt;5",$T$53,IF($B$5="5 to 7",$T$54,IF($B$5="&gt;7",$T$55,0)))</f>
        <v>0</v>
      </c>
      <c r="Y51" s="57"/>
      <c r="Z51" s="930"/>
      <c r="AA51" s="930"/>
      <c r="AB51" s="930"/>
      <c r="AC51" s="929"/>
      <c r="AD51" s="929"/>
      <c r="AE51" s="970"/>
      <c r="AF51" s="970"/>
      <c r="AG51" s="1077"/>
      <c r="AH51" s="359"/>
      <c r="AI51" s="1076"/>
      <c r="AJ51" s="1076"/>
      <c r="AK51" s="1075"/>
      <c r="AL51" s="359"/>
    </row>
    <row r="52" spans="9:38">
      <c r="I52" s="52"/>
      <c r="J52" s="57"/>
      <c r="K52" s="57"/>
      <c r="L52" s="57"/>
      <c r="M52" s="57"/>
      <c r="N52" s="57"/>
      <c r="O52" s="57" t="s">
        <v>274</v>
      </c>
      <c r="P52" s="57"/>
      <c r="Q52" s="57"/>
      <c r="R52" s="57"/>
      <c r="S52" s="57">
        <v>0</v>
      </c>
      <c r="T52" s="57"/>
      <c r="U52" s="57" t="s">
        <v>91</v>
      </c>
      <c r="V52" s="57" t="s">
        <v>146</v>
      </c>
      <c r="W52" s="57" t="s">
        <v>94</v>
      </c>
      <c r="X52" s="57"/>
      <c r="Y52" s="57"/>
      <c r="Z52" s="930"/>
      <c r="AA52" s="930"/>
      <c r="AB52" s="930"/>
      <c r="AC52" s="929"/>
      <c r="AD52" s="932"/>
      <c r="AE52" s="970"/>
      <c r="AF52" s="970"/>
      <c r="AG52" s="1077"/>
      <c r="AH52" s="142"/>
      <c r="AI52" s="1076"/>
      <c r="AJ52" s="1076"/>
      <c r="AK52" s="1075"/>
      <c r="AL52" s="142"/>
    </row>
    <row r="53" spans="9:38" ht="47.25">
      <c r="I53" s="52"/>
      <c r="J53" s="57"/>
      <c r="K53" s="57"/>
      <c r="L53" s="57"/>
      <c r="M53" s="57"/>
      <c r="N53" s="57"/>
      <c r="O53" s="57" t="s">
        <v>275</v>
      </c>
      <c r="P53" s="57"/>
      <c r="Q53" s="57"/>
      <c r="R53" s="57"/>
      <c r="S53" s="57">
        <v>20</v>
      </c>
      <c r="T53" s="57" t="s">
        <v>17</v>
      </c>
      <c r="U53" s="57">
        <v>1.6800000000000002</v>
      </c>
      <c r="V53" s="57">
        <v>1.6720000000000002</v>
      </c>
      <c r="W53" s="57">
        <v>1.6560000000000001</v>
      </c>
      <c r="X53" s="57"/>
      <c r="Y53" s="57"/>
      <c r="Z53" s="933" t="s">
        <v>276</v>
      </c>
      <c r="AA53" s="933" t="s">
        <v>277</v>
      </c>
      <c r="AB53" s="933" t="s">
        <v>278</v>
      </c>
      <c r="AC53" s="933" t="s">
        <v>279</v>
      </c>
      <c r="AD53" s="932"/>
      <c r="AE53" s="970"/>
      <c r="AF53" s="970"/>
      <c r="AG53" s="1077"/>
      <c r="AH53" s="142"/>
      <c r="AI53" s="1076"/>
      <c r="AJ53" s="1076"/>
      <c r="AK53" s="1075"/>
      <c r="AL53" s="142"/>
    </row>
    <row r="54" spans="9:38" ht="15.75">
      <c r="I54" s="52"/>
      <c r="J54" s="57"/>
      <c r="K54" s="57"/>
      <c r="L54" s="57"/>
      <c r="M54" s="57"/>
      <c r="N54" s="57"/>
      <c r="O54" s="57" t="s">
        <v>280</v>
      </c>
      <c r="P54" s="57"/>
      <c r="Q54" s="57"/>
      <c r="R54" s="57"/>
      <c r="S54" s="57">
        <v>25</v>
      </c>
      <c r="T54" s="57" t="s">
        <v>170</v>
      </c>
      <c r="U54" s="57">
        <v>1.722</v>
      </c>
      <c r="V54" s="57">
        <v>1.714</v>
      </c>
      <c r="W54" s="57">
        <v>1.6970000000000001</v>
      </c>
      <c r="X54" s="57"/>
      <c r="Y54" s="57"/>
      <c r="Z54" s="191"/>
      <c r="AA54" s="931"/>
      <c r="AB54" s="931"/>
      <c r="AC54" s="931"/>
      <c r="AD54" s="929"/>
      <c r="AE54" s="970"/>
      <c r="AF54" s="970"/>
      <c r="AG54" s="1077"/>
      <c r="AH54" s="359"/>
      <c r="AI54" s="1076"/>
      <c r="AJ54" s="1076"/>
      <c r="AK54" s="1075"/>
      <c r="AL54" s="359"/>
    </row>
    <row r="55" spans="9:38" ht="22.5" customHeight="1">
      <c r="I55" s="52"/>
      <c r="J55" s="57"/>
      <c r="K55" s="57"/>
      <c r="L55" s="57"/>
      <c r="M55" s="57"/>
      <c r="N55" s="57"/>
      <c r="O55" s="57"/>
      <c r="P55" s="57"/>
      <c r="Q55" s="57"/>
      <c r="R55" s="57"/>
      <c r="S55" s="57">
        <v>35</v>
      </c>
      <c r="T55" s="57">
        <v>7.1</v>
      </c>
      <c r="U55" s="57">
        <v>1.764</v>
      </c>
      <c r="V55" s="57">
        <v>1.756</v>
      </c>
      <c r="W55" s="57">
        <v>1.7389999999999999</v>
      </c>
      <c r="X55" s="57"/>
      <c r="Y55" s="57"/>
      <c r="Z55" s="192" t="s">
        <v>281</v>
      </c>
      <c r="AA55" s="933">
        <v>1.726</v>
      </c>
      <c r="AB55" s="933">
        <v>1.7429999999999999</v>
      </c>
      <c r="AC55" s="933">
        <v>1.7509999999999999</v>
      </c>
      <c r="AD55" s="929"/>
      <c r="AE55" s="970"/>
      <c r="AF55" s="970"/>
      <c r="AG55" s="1077"/>
      <c r="AH55" s="359"/>
      <c r="AI55" s="1076"/>
      <c r="AJ55" s="1076"/>
      <c r="AK55" s="1075"/>
      <c r="AL55" s="359"/>
    </row>
    <row r="56" spans="9:38" ht="110.25">
      <c r="I56" s="52"/>
      <c r="J56" s="57"/>
      <c r="K56" s="57"/>
      <c r="L56" s="57"/>
      <c r="M56" s="57"/>
      <c r="N56" s="57"/>
      <c r="O56" s="57"/>
      <c r="P56" s="57"/>
      <c r="Q56" s="57"/>
      <c r="R56" s="57"/>
      <c r="S56" s="57">
        <v>45</v>
      </c>
      <c r="T56" s="57"/>
      <c r="U56" s="57"/>
      <c r="V56" s="57"/>
      <c r="W56" s="57"/>
      <c r="X56" s="57"/>
      <c r="Y56" s="57"/>
      <c r="Z56" s="192" t="s">
        <v>282</v>
      </c>
      <c r="AA56" s="933">
        <v>1.77</v>
      </c>
      <c r="AB56" s="933">
        <v>1.7869999999999999</v>
      </c>
      <c r="AC56" s="933">
        <v>1.7949999999999999</v>
      </c>
      <c r="AD56" s="929"/>
      <c r="AE56" s="970"/>
      <c r="AF56" s="970"/>
      <c r="AG56" s="1077"/>
      <c r="AH56" s="359"/>
      <c r="AI56" s="1076"/>
      <c r="AJ56" s="1076"/>
      <c r="AK56" s="1075"/>
      <c r="AL56" s="359"/>
    </row>
    <row r="57" spans="9:38" ht="36.75" customHeight="1">
      <c r="I57" s="52"/>
      <c r="J57" s="57"/>
      <c r="K57" s="57"/>
      <c r="L57" s="57"/>
      <c r="M57" s="57"/>
      <c r="N57" s="57"/>
      <c r="O57" s="57"/>
      <c r="P57" s="57"/>
      <c r="Q57" s="57"/>
      <c r="R57" s="57"/>
      <c r="S57" s="57">
        <v>50</v>
      </c>
      <c r="T57" s="57"/>
      <c r="U57" s="57"/>
      <c r="V57" s="57"/>
      <c r="W57" s="57"/>
      <c r="X57" s="57"/>
      <c r="Y57" s="57"/>
      <c r="Z57" s="192" t="s">
        <v>283</v>
      </c>
      <c r="AA57" s="933">
        <v>1.8120000000000001</v>
      </c>
      <c r="AB57" s="933">
        <v>1.83</v>
      </c>
      <c r="AC57" s="933">
        <v>1.839</v>
      </c>
      <c r="AD57" s="929"/>
      <c r="AE57" s="970"/>
      <c r="AF57" s="970"/>
      <c r="AG57" s="1077"/>
      <c r="AH57" s="359"/>
      <c r="AI57" s="1076"/>
      <c r="AJ57" s="1076"/>
      <c r="AK57" s="1075"/>
      <c r="AL57" s="359"/>
    </row>
    <row r="58" spans="9:38">
      <c r="I58" s="52"/>
      <c r="J58" s="57"/>
      <c r="K58" s="57"/>
      <c r="L58" s="57"/>
      <c r="M58" s="57"/>
      <c r="N58" s="57"/>
      <c r="O58" s="57"/>
      <c r="P58" s="57"/>
      <c r="Q58" s="57"/>
      <c r="R58" s="57"/>
      <c r="S58" s="57"/>
      <c r="T58" s="57"/>
      <c r="U58" s="57"/>
      <c r="V58" s="57"/>
      <c r="W58" s="57"/>
      <c r="X58" s="57"/>
      <c r="Y58" s="57"/>
      <c r="Z58" s="930"/>
      <c r="AA58" s="930"/>
      <c r="AB58" s="930"/>
      <c r="AC58" s="929"/>
      <c r="AD58" s="932"/>
      <c r="AE58" s="970"/>
      <c r="AF58" s="970"/>
      <c r="AG58" s="1077"/>
      <c r="AH58" s="142"/>
      <c r="AI58" s="1076"/>
      <c r="AJ58" s="1076"/>
      <c r="AK58" s="1075"/>
      <c r="AL58" s="142"/>
    </row>
    <row r="59" spans="9:38" ht="15.75">
      <c r="I59" s="52"/>
      <c r="J59" s="57"/>
      <c r="K59" s="57"/>
      <c r="L59" s="57" t="s">
        <v>284</v>
      </c>
      <c r="M59" s="57" t="s">
        <v>285</v>
      </c>
      <c r="N59" s="57" t="s">
        <v>171</v>
      </c>
      <c r="O59" s="193" t="s">
        <v>172</v>
      </c>
      <c r="P59" s="193" t="s">
        <v>173</v>
      </c>
      <c r="Q59" s="193" t="s">
        <v>174</v>
      </c>
      <c r="R59" s="194"/>
      <c r="S59" s="57"/>
      <c r="T59" s="87"/>
      <c r="U59" s="87" t="s">
        <v>286</v>
      </c>
      <c r="V59" s="87" t="s">
        <v>193</v>
      </c>
      <c r="W59" s="87" t="s">
        <v>192</v>
      </c>
      <c r="X59" s="57"/>
      <c r="Y59" s="57"/>
      <c r="Z59" s="146"/>
      <c r="AA59" s="930"/>
      <c r="AB59" s="930"/>
      <c r="AC59" s="929"/>
      <c r="AD59" s="932"/>
      <c r="AE59" s="970"/>
      <c r="AF59" s="970"/>
      <c r="AG59" s="1077"/>
      <c r="AH59" s="142"/>
      <c r="AI59" s="1076"/>
      <c r="AJ59" s="1076"/>
      <c r="AK59" s="1075"/>
      <c r="AL59" s="142"/>
    </row>
    <row r="60" spans="9:38" ht="20.25" customHeight="1">
      <c r="I60" s="52"/>
      <c r="J60" s="57"/>
      <c r="K60" s="57"/>
      <c r="L60" s="57" t="str">
        <f>IF(D2&gt;40000,O54,IF(D2&gt;20000,O53,IF(D2&gt;12000,O52,IF(D2&gt;7500,O51,IF(D2&gt;0,O50,0)))))</f>
        <v>&gt;40000</v>
      </c>
      <c r="M60" s="57" t="s">
        <v>17</v>
      </c>
      <c r="N60" s="57" t="s">
        <v>14</v>
      </c>
      <c r="O60" s="57">
        <f>IF($B$5="&lt;5",$T$53,IF($B$5="5 to 7",$T$54,IF($B$5="&gt;7",$T$55,0)))</f>
        <v>0</v>
      </c>
      <c r="P60" s="57" t="s">
        <v>46</v>
      </c>
      <c r="Q60" s="57">
        <f>IF($D$2="&lt;1000",$U$61,IF($D$2="1000-1500",$V$61,IF($D$2="&gt;1500",$W$61,0)))</f>
        <v>0</v>
      </c>
      <c r="R60" s="57"/>
      <c r="S60" s="57"/>
      <c r="T60" s="57" t="s">
        <v>17</v>
      </c>
      <c r="U60" s="57">
        <v>1.726</v>
      </c>
      <c r="V60" s="57">
        <v>1.7429999999999999</v>
      </c>
      <c r="W60" s="57">
        <v>1.7509999999999999</v>
      </c>
      <c r="X60" s="57"/>
      <c r="Y60" s="57"/>
      <c r="Z60" s="306"/>
      <c r="AA60" s="306"/>
      <c r="AB60" s="306"/>
      <c r="AC60" s="306"/>
      <c r="AD60" s="306"/>
      <c r="AE60" s="306"/>
      <c r="AF60" s="306"/>
      <c r="AG60" s="357"/>
      <c r="AH60" s="28"/>
      <c r="AI60" s="28"/>
      <c r="AJ60" s="28"/>
      <c r="AK60" s="28"/>
      <c r="AL60" s="28"/>
    </row>
    <row r="61" spans="9:38">
      <c r="I61" s="52"/>
      <c r="J61" s="57"/>
      <c r="K61" s="57"/>
      <c r="L61" s="57"/>
      <c r="M61" s="57" t="s">
        <v>170</v>
      </c>
      <c r="N61" s="57" t="s">
        <v>50</v>
      </c>
      <c r="O61" s="57"/>
      <c r="P61" s="57" t="s">
        <v>11</v>
      </c>
      <c r="Q61" s="57"/>
      <c r="R61" s="57"/>
      <c r="S61" s="57"/>
      <c r="T61" s="57" t="s">
        <v>170</v>
      </c>
      <c r="U61" s="83">
        <v>1.77</v>
      </c>
      <c r="V61" s="83">
        <v>1.7869999999999999</v>
      </c>
      <c r="W61" s="83">
        <v>1.7949999999999999</v>
      </c>
      <c r="X61" s="57"/>
      <c r="Y61" s="57"/>
      <c r="Z61" s="306"/>
      <c r="AA61" s="306"/>
      <c r="AB61" s="306"/>
      <c r="AC61" s="306"/>
      <c r="AD61" s="306"/>
      <c r="AE61" s="306"/>
      <c r="AF61" s="306"/>
      <c r="AG61" s="357"/>
      <c r="AH61" s="28"/>
      <c r="AI61" s="28"/>
      <c r="AJ61" s="28"/>
      <c r="AK61" s="28"/>
      <c r="AL61" s="28"/>
    </row>
    <row r="62" spans="9:38">
      <c r="I62" s="52"/>
      <c r="J62" s="57"/>
      <c r="K62" s="57"/>
      <c r="L62" s="57"/>
      <c r="M62" s="57" t="s">
        <v>195</v>
      </c>
      <c r="N62" s="57"/>
      <c r="O62" s="57"/>
      <c r="P62" s="57" t="s">
        <v>213</v>
      </c>
      <c r="Q62" s="57"/>
      <c r="R62" s="57"/>
      <c r="S62" s="57"/>
      <c r="T62" s="57">
        <v>7.1</v>
      </c>
      <c r="U62" s="83">
        <v>1.8120000000000001</v>
      </c>
      <c r="V62" s="83">
        <v>1.83</v>
      </c>
      <c r="W62" s="83">
        <v>1.839</v>
      </c>
      <c r="X62" s="57"/>
      <c r="Y62" s="57"/>
      <c r="Z62" s="306"/>
      <c r="AA62" s="306"/>
      <c r="AB62" s="306"/>
      <c r="AC62" s="306"/>
      <c r="AD62" s="306"/>
      <c r="AE62" s="306"/>
      <c r="AF62" s="306"/>
      <c r="AG62" s="357"/>
      <c r="AH62" s="28"/>
      <c r="AI62" s="28"/>
      <c r="AJ62" s="28"/>
      <c r="AK62" s="28"/>
      <c r="AL62" s="28"/>
    </row>
    <row r="63" spans="9:38">
      <c r="I63" s="52"/>
      <c r="J63" s="57"/>
      <c r="K63" s="57"/>
      <c r="L63" s="57"/>
      <c r="M63" s="57"/>
      <c r="N63" s="57"/>
      <c r="O63" s="193" t="s">
        <v>38</v>
      </c>
      <c r="P63" s="57"/>
      <c r="Q63" s="57"/>
      <c r="R63" s="57"/>
      <c r="S63" s="57"/>
      <c r="T63" s="83"/>
      <c r="U63" s="83"/>
      <c r="V63" s="83"/>
      <c r="W63" s="83"/>
      <c r="X63" s="57"/>
      <c r="Y63" s="57"/>
      <c r="Z63" s="83"/>
      <c r="AA63" s="83"/>
      <c r="AB63" s="83"/>
      <c r="AC63" s="83"/>
      <c r="AD63" s="83"/>
      <c r="AE63" s="83"/>
      <c r="AF63" s="83"/>
      <c r="AG63" s="357"/>
      <c r="AH63" s="28"/>
      <c r="AI63" s="28"/>
      <c r="AJ63" s="28"/>
      <c r="AK63" s="28"/>
      <c r="AL63" s="28"/>
    </row>
    <row r="64" spans="9:38">
      <c r="I64" s="52"/>
      <c r="J64" s="57"/>
      <c r="K64" s="57"/>
      <c r="L64" s="57"/>
      <c r="M64" s="57"/>
      <c r="N64" s="57"/>
      <c r="O64" s="57" t="s">
        <v>192</v>
      </c>
      <c r="P64" s="57">
        <f>IF(OR(B4="Public Package",B4="E-Cart Public"),IF(B5="&lt;5",1.751,IF(B5="5 to 7",1.795,IF(B5="&gt;7",1.839,0))),IF(OR(B4="Private Package",B4="E-Cart Private"),IF(B5="&lt;5",1.226,IF(B5="5 to 7",1.257,IF(B5="&gt;7",1.287,0))),IF(B4="Public Enhancement",1.751,1.226)))</f>
        <v>1.7509999999999999</v>
      </c>
      <c r="Q64" s="57"/>
      <c r="R64" s="57"/>
      <c r="S64" s="57"/>
      <c r="T64" s="83"/>
      <c r="U64" s="83"/>
      <c r="V64" s="83"/>
      <c r="W64" s="83"/>
      <c r="X64" s="57"/>
      <c r="Y64" s="57"/>
      <c r="Z64" s="57"/>
      <c r="AA64" s="57"/>
      <c r="AB64" s="57"/>
      <c r="AC64" s="57"/>
      <c r="AD64" s="57"/>
      <c r="AE64" s="57"/>
      <c r="AF64" s="57"/>
      <c r="AG64" s="49"/>
    </row>
    <row r="65" spans="1:33">
      <c r="I65" s="52"/>
      <c r="J65" s="57"/>
      <c r="K65" s="57"/>
      <c r="L65" s="57"/>
      <c r="M65" s="57"/>
      <c r="N65" s="57"/>
      <c r="O65" s="57" t="s">
        <v>193</v>
      </c>
      <c r="P65" s="57">
        <f>IF(OR(B4="Public Package",B4="E-Cart Public"),IF(B5="&lt;5",1.743,IF(B5="5 to 7",1.787,IF(B5="&gt;7",1.83,0))),IF(OR(B4="Private Package",B4="E-Cart Private"),IF(B5="&lt;5",1.22,IF(B5="5 to 7",1.251,IF(B5="&gt;7",1.281,0))),IF(B4="Public Enhancement",1.743,1.22)))</f>
        <v>1.7430000000000001</v>
      </c>
      <c r="Q65" s="57"/>
      <c r="R65" s="57"/>
      <c r="S65" s="57"/>
      <c r="T65" s="1073"/>
      <c r="U65" s="1073"/>
      <c r="V65" s="1073"/>
      <c r="W65" s="1073"/>
      <c r="X65" s="57"/>
      <c r="Y65" s="57"/>
      <c r="Z65" s="57"/>
      <c r="AA65" s="57"/>
      <c r="AB65" s="57"/>
      <c r="AC65" s="57"/>
      <c r="AD65" s="57"/>
      <c r="AE65" s="57"/>
      <c r="AF65" s="57"/>
      <c r="AG65" s="49"/>
    </row>
    <row r="66" spans="1:33">
      <c r="I66" s="52"/>
      <c r="J66" s="57"/>
      <c r="K66" s="57"/>
      <c r="L66" s="57" t="s">
        <v>546</v>
      </c>
      <c r="M66" s="57">
        <f>B2*B10%</f>
        <v>28015.999999999996</v>
      </c>
      <c r="N66" s="57"/>
      <c r="O66" s="57" t="s">
        <v>286</v>
      </c>
      <c r="P66" s="57">
        <f>IF(OR(B4="Public Package",B4="E-Cart Public"),IF(B5="&lt;5",1.726,IF(B5="5 to 7",1.77,IF(B5="&gt;7",1.812,0))),IF(OR(B4="Private Package",B4="E-Cart Private"),IF(B5="&lt;5",1.208,IF(B5="5 to 7",1.239,IF(B5="&gt;7",1.268,0))),IF(B4="Public Enhancement",1.726,1.208)))</f>
        <v>1.726</v>
      </c>
      <c r="Q66" s="57"/>
      <c r="R66" s="57"/>
      <c r="S66" s="57"/>
      <c r="T66" s="83"/>
      <c r="U66" s="83"/>
      <c r="V66" s="83"/>
      <c r="W66" s="83"/>
      <c r="X66" s="57"/>
      <c r="Y66" s="57"/>
      <c r="Z66" s="57"/>
      <c r="AA66" s="57"/>
      <c r="AB66" s="57"/>
      <c r="AC66" s="57"/>
      <c r="AD66" s="57"/>
      <c r="AE66" s="57"/>
      <c r="AF66" s="57"/>
      <c r="AG66" s="49"/>
    </row>
    <row r="67" spans="1:33">
      <c r="I67" s="52"/>
      <c r="J67" s="57"/>
      <c r="K67" s="57"/>
      <c r="L67" s="57" t="s">
        <v>547</v>
      </c>
      <c r="M67" s="57">
        <f>IF($L$60="&lt;7500",0,IF($L$60="7501-12000",0,IF(OR($L$60="12001-20000",$L$60="20001-40000",$L$60="&gt;40000"),($D$2-12000)*0.27)))</f>
        <v>9045</v>
      </c>
      <c r="N67" s="57"/>
      <c r="O67" s="57"/>
      <c r="P67" s="57"/>
      <c r="Q67" s="57"/>
      <c r="R67" s="57"/>
      <c r="S67" s="57"/>
      <c r="T67" s="195"/>
      <c r="U67" s="196"/>
      <c r="V67" s="196"/>
      <c r="W67" s="196"/>
      <c r="X67" s="57"/>
      <c r="Y67" s="57"/>
      <c r="Z67" s="57"/>
      <c r="AA67" s="1073"/>
      <c r="AB67" s="1073"/>
      <c r="AC67" s="1073"/>
      <c r="AD67" s="1073"/>
      <c r="AE67" s="57"/>
      <c r="AF67" s="57"/>
      <c r="AG67" s="49"/>
    </row>
    <row r="68" spans="1:33">
      <c r="I68" s="52"/>
      <c r="J68" s="57"/>
      <c r="K68" s="57"/>
      <c r="L68" s="57" t="s">
        <v>548</v>
      </c>
      <c r="M68" s="57">
        <f>M66+M67</f>
        <v>37061</v>
      </c>
      <c r="N68" s="57"/>
      <c r="O68" s="57"/>
      <c r="P68" s="57"/>
      <c r="Q68" s="57"/>
      <c r="R68" s="57"/>
      <c r="S68" s="57"/>
      <c r="T68" s="83"/>
      <c r="U68" s="83"/>
      <c r="V68" s="83"/>
      <c r="W68" s="83"/>
      <c r="X68" s="57"/>
      <c r="Y68" s="57"/>
      <c r="Z68" s="57"/>
      <c r="AA68" s="57"/>
      <c r="AB68" s="57"/>
      <c r="AC68" s="934"/>
      <c r="AD68" s="57"/>
      <c r="AE68" s="57"/>
      <c r="AF68" s="57"/>
      <c r="AG68" s="49"/>
    </row>
    <row r="69" spans="1:33">
      <c r="I69" s="52"/>
      <c r="J69" s="57"/>
      <c r="K69" s="57"/>
      <c r="L69" s="57"/>
      <c r="M69" s="57"/>
      <c r="N69" s="57"/>
      <c r="O69" s="57"/>
      <c r="P69" s="57"/>
      <c r="Q69" s="57"/>
      <c r="R69" s="57"/>
      <c r="S69" s="57"/>
      <c r="T69" s="83"/>
      <c r="U69" s="83"/>
      <c r="V69" s="83"/>
      <c r="W69" s="83"/>
      <c r="X69" s="57"/>
      <c r="Y69" s="57"/>
      <c r="Z69" s="57"/>
      <c r="AA69" s="54"/>
      <c r="AB69" s="54"/>
      <c r="AC69" s="54"/>
      <c r="AD69" s="54"/>
      <c r="AE69" s="57"/>
      <c r="AF69" s="57"/>
      <c r="AG69" s="49"/>
    </row>
    <row r="70" spans="1:33">
      <c r="I70" s="52"/>
      <c r="J70" s="57"/>
      <c r="K70" s="57"/>
      <c r="L70" s="57"/>
      <c r="M70" s="57"/>
      <c r="N70" s="57"/>
      <c r="O70" s="57"/>
      <c r="P70" s="57"/>
      <c r="Q70" s="57"/>
      <c r="R70" s="57"/>
      <c r="S70" s="57"/>
      <c r="T70" s="83"/>
      <c r="U70" s="83"/>
      <c r="V70" s="83"/>
      <c r="W70" s="83"/>
      <c r="X70" s="57"/>
      <c r="Y70" s="57"/>
      <c r="Z70" s="57"/>
      <c r="AA70" s="54"/>
      <c r="AB70" s="54"/>
      <c r="AC70" s="54"/>
      <c r="AD70" s="54"/>
      <c r="AE70" s="57"/>
      <c r="AF70" s="57"/>
      <c r="AG70" s="49"/>
    </row>
    <row r="71" spans="1:33" ht="15.75">
      <c r="I71" s="52"/>
      <c r="J71" s="57"/>
      <c r="K71" s="57"/>
      <c r="L71" s="57"/>
      <c r="M71" s="57" t="s">
        <v>86</v>
      </c>
      <c r="N71" s="57"/>
      <c r="O71" s="935" t="s">
        <v>23</v>
      </c>
      <c r="P71" s="935" t="s">
        <v>290</v>
      </c>
      <c r="Q71" s="935" t="s">
        <v>291</v>
      </c>
      <c r="R71" s="935" t="s">
        <v>292</v>
      </c>
      <c r="S71" s="57" t="s">
        <v>201</v>
      </c>
      <c r="T71" s="57" t="s">
        <v>88</v>
      </c>
      <c r="U71" s="57" t="s">
        <v>89</v>
      </c>
      <c r="V71" s="57" t="s">
        <v>202</v>
      </c>
      <c r="W71" s="57" t="s">
        <v>90</v>
      </c>
      <c r="X71" s="57"/>
      <c r="Y71" s="57"/>
      <c r="Z71" s="57"/>
      <c r="AA71" s="54"/>
      <c r="AB71" s="54"/>
      <c r="AC71" s="54"/>
      <c r="AD71" s="54"/>
      <c r="AE71" s="57"/>
      <c r="AF71" s="57"/>
      <c r="AG71" s="49"/>
    </row>
    <row r="72" spans="1:33" ht="15.75">
      <c r="I72" s="52"/>
      <c r="J72" s="57"/>
      <c r="K72" s="57"/>
      <c r="L72" s="57"/>
      <c r="M72" s="1070">
        <f>IF($D$5="A",P72,IF($D$5="B",P73,IF($D$5="C",P74,0)))</f>
        <v>7412.2000000000007</v>
      </c>
      <c r="N72" s="1071">
        <f>IF($D$5="A",O72,IF($D$5="B",O73,IF($D$5="C",O74,0)))</f>
        <v>20</v>
      </c>
      <c r="O72" s="936">
        <f>IF($B$5=$O$85,S72,IF($B$5=$O$86,T72,IF($B$5=$O$87,U72,IF($B$5=$O$88,V72,IF($B$5=$O$89,W72,0)))))</f>
        <v>20</v>
      </c>
      <c r="P72" s="935">
        <f>(M68)*O72%</f>
        <v>7412.2000000000007</v>
      </c>
      <c r="Q72" s="1074" t="s">
        <v>293</v>
      </c>
      <c r="R72" s="935" t="s">
        <v>197</v>
      </c>
      <c r="S72" s="935">
        <v>18</v>
      </c>
      <c r="T72" s="935">
        <v>20</v>
      </c>
      <c r="U72" s="935">
        <v>24</v>
      </c>
      <c r="V72" s="935">
        <v>35</v>
      </c>
      <c r="W72" s="935">
        <v>40</v>
      </c>
      <c r="X72" s="57"/>
      <c r="Y72" s="57"/>
      <c r="Z72" s="57"/>
      <c r="AA72" s="57"/>
      <c r="AB72" s="54"/>
      <c r="AC72" s="54"/>
      <c r="AD72" s="54"/>
      <c r="AE72" s="57"/>
      <c r="AF72" s="57"/>
      <c r="AG72" s="49"/>
    </row>
    <row r="73" spans="1:33" ht="15.75">
      <c r="A73" s="28"/>
      <c r="B73" s="28"/>
      <c r="C73" s="28"/>
      <c r="D73" s="28"/>
      <c r="E73" s="28"/>
      <c r="F73" s="28"/>
      <c r="I73" s="52"/>
      <c r="J73" s="57"/>
      <c r="K73" s="57"/>
      <c r="L73" s="57"/>
      <c r="M73" s="1070"/>
      <c r="N73" s="1071"/>
      <c r="O73" s="936">
        <f>IF($B$5=$O$85,S73,IF($B$5=$O$86,T73,IF($B$5=$O$87,U73,IF($B$5=$O$88,V73,IF($B$5=$O$89,W73,0)))))</f>
        <v>10</v>
      </c>
      <c r="P73" s="935">
        <f>(M68)*O73%</f>
        <v>3706.1000000000004</v>
      </c>
      <c r="Q73" s="1074"/>
      <c r="R73" s="935" t="s">
        <v>294</v>
      </c>
      <c r="S73" s="935">
        <v>8</v>
      </c>
      <c r="T73" s="935">
        <v>10</v>
      </c>
      <c r="U73" s="935">
        <v>15</v>
      </c>
      <c r="V73" s="935">
        <v>22</v>
      </c>
      <c r="W73" s="935">
        <v>27</v>
      </c>
      <c r="X73" s="57"/>
      <c r="Y73" s="57"/>
      <c r="Z73" s="57"/>
      <c r="AA73" s="57"/>
      <c r="AB73" s="57"/>
      <c r="AC73" s="57"/>
      <c r="AD73" s="57"/>
      <c r="AE73" s="57"/>
      <c r="AF73" s="57"/>
      <c r="AG73" s="49"/>
    </row>
    <row r="74" spans="1:33" ht="15.75">
      <c r="A74" s="28"/>
      <c r="B74" s="28"/>
      <c r="C74" s="28"/>
      <c r="D74" s="28"/>
      <c r="E74" s="28"/>
      <c r="F74" s="28"/>
      <c r="I74" s="52"/>
      <c r="J74" s="57"/>
      <c r="K74" s="57"/>
      <c r="L74" s="57"/>
      <c r="M74" s="1070"/>
      <c r="N74" s="1071"/>
      <c r="O74" s="936">
        <f>IF($B$5=$O$85,S74,IF($B$5=$O$86,T74,IF($B$5=$O$87,U74,IF($B$5=$O$88,V74,IF($B$5=$O$89,W74,0)))))</f>
        <v>30</v>
      </c>
      <c r="P74" s="935">
        <f>(M68)*O74%</f>
        <v>11118.3</v>
      </c>
      <c r="Q74" s="1074"/>
      <c r="R74" s="935" t="s">
        <v>288</v>
      </c>
      <c r="S74" s="935">
        <v>30</v>
      </c>
      <c r="T74" s="935">
        <v>30</v>
      </c>
      <c r="U74" s="935">
        <v>30</v>
      </c>
      <c r="V74" s="935">
        <v>30</v>
      </c>
      <c r="W74" s="935">
        <v>30</v>
      </c>
      <c r="X74" s="57"/>
      <c r="Y74" s="57"/>
      <c r="Z74" s="57"/>
      <c r="AA74" s="57"/>
      <c r="AB74" s="57"/>
      <c r="AC74" s="57"/>
      <c r="AD74" s="57"/>
      <c r="AE74" s="57"/>
      <c r="AF74" s="57"/>
      <c r="AG74" s="49"/>
    </row>
    <row r="75" spans="1:33" ht="37.5">
      <c r="A75" s="149"/>
      <c r="B75" s="117"/>
      <c r="C75" s="117"/>
      <c r="D75" s="117"/>
      <c r="E75" s="117"/>
      <c r="F75" s="150"/>
      <c r="I75" s="52"/>
      <c r="J75" s="57"/>
      <c r="K75" s="57"/>
      <c r="L75" s="57"/>
      <c r="M75" s="937"/>
      <c r="N75" s="57"/>
      <c r="O75" s="935"/>
      <c r="P75" s="935"/>
      <c r="Q75" s="935"/>
      <c r="R75" s="935"/>
      <c r="S75" s="935"/>
      <c r="T75" s="935"/>
      <c r="U75" s="935"/>
      <c r="V75" s="935"/>
      <c r="W75" s="935"/>
      <c r="X75" s="57"/>
      <c r="Y75" s="57"/>
      <c r="Z75" s="57"/>
      <c r="AA75" s="57"/>
      <c r="AB75" s="57"/>
      <c r="AC75" s="57"/>
      <c r="AD75" s="57"/>
      <c r="AE75" s="57"/>
      <c r="AF75" s="57"/>
      <c r="AG75" s="49"/>
    </row>
    <row r="76" spans="1:33" ht="23.25">
      <c r="A76" s="129"/>
      <c r="B76" s="151"/>
      <c r="C76" s="151"/>
      <c r="D76" s="151"/>
      <c r="E76" s="151"/>
      <c r="F76" s="151"/>
      <c r="I76" s="52"/>
      <c r="J76" s="57"/>
      <c r="K76" s="57"/>
      <c r="L76" s="57"/>
      <c r="M76" s="1070">
        <f>IF($D$5="A",P76,IF($D$5="B",P77,IF($D$5="C",P78,0)))</f>
        <v>7782.8099999999995</v>
      </c>
      <c r="N76" s="1071">
        <f>IF($D$5="A",O76,IF($D$5="B",O77,IF($D$5="C",O78,0)))</f>
        <v>21</v>
      </c>
      <c r="O76" s="936">
        <f>IF($B$5=$O$85,S76,IF($B$5=$O$86,T76,IF($B$5=$O$87,U76,IF($B$5=$O$88,V76,IF($B$5=$O$89,W76,0)))))</f>
        <v>21</v>
      </c>
      <c r="P76" s="935">
        <f>(M68)*O76%</f>
        <v>7782.8099999999995</v>
      </c>
      <c r="Q76" s="1072" t="s">
        <v>295</v>
      </c>
      <c r="R76" s="938" t="s">
        <v>197</v>
      </c>
      <c r="S76" s="938">
        <v>19</v>
      </c>
      <c r="T76" s="938">
        <v>21</v>
      </c>
      <c r="U76" s="938">
        <v>28</v>
      </c>
      <c r="V76" s="938">
        <v>37</v>
      </c>
      <c r="W76" s="938">
        <v>40</v>
      </c>
      <c r="X76" s="57"/>
      <c r="Y76" s="57"/>
      <c r="Z76" s="57"/>
      <c r="AA76" s="57"/>
      <c r="AB76" s="57"/>
      <c r="AC76" s="57"/>
      <c r="AD76" s="57"/>
      <c r="AE76" s="57"/>
      <c r="AF76" s="57"/>
      <c r="AG76" s="49"/>
    </row>
    <row r="77" spans="1:33" ht="15.75">
      <c r="A77" s="86"/>
      <c r="B77" s="86"/>
      <c r="C77" s="86"/>
      <c r="D77" s="86"/>
      <c r="E77" s="86"/>
      <c r="F77" s="86"/>
      <c r="I77" s="52"/>
      <c r="J77" s="57"/>
      <c r="K77" s="57"/>
      <c r="L77" s="57"/>
      <c r="M77" s="1070"/>
      <c r="N77" s="1071"/>
      <c r="O77" s="936">
        <f>IF($B$5=$O$85,S77,IF($B$5=$O$86,T77,IF($B$5=$O$87,U77,IF($B$5=$O$88,V77,IF($B$5=$O$89,W77,0)))))</f>
        <v>12</v>
      </c>
      <c r="P77" s="935">
        <f>(M68)*O77%</f>
        <v>4447.32</v>
      </c>
      <c r="Q77" s="1072"/>
      <c r="R77" s="938" t="s">
        <v>294</v>
      </c>
      <c r="S77" s="938">
        <v>10</v>
      </c>
      <c r="T77" s="938">
        <v>12</v>
      </c>
      <c r="U77" s="938">
        <v>20</v>
      </c>
      <c r="V77" s="938">
        <v>25</v>
      </c>
      <c r="W77" s="938">
        <v>27</v>
      </c>
      <c r="X77" s="57"/>
      <c r="Y77" s="57"/>
      <c r="Z77" s="57"/>
      <c r="AA77" s="57"/>
      <c r="AB77" s="57"/>
      <c r="AC77" s="57"/>
      <c r="AD77" s="57"/>
      <c r="AE77" s="57"/>
      <c r="AF77" s="57"/>
      <c r="AG77" s="49"/>
    </row>
    <row r="78" spans="1:33" ht="17.25" customHeight="1">
      <c r="A78" s="131"/>
      <c r="B78" s="132"/>
      <c r="C78" s="132"/>
      <c r="D78" s="132"/>
      <c r="E78" s="132"/>
      <c r="F78" s="132"/>
      <c r="I78" s="52"/>
      <c r="J78" s="57"/>
      <c r="K78" s="57"/>
      <c r="L78" s="57"/>
      <c r="M78" s="1070"/>
      <c r="N78" s="1071"/>
      <c r="O78" s="936">
        <f>IF($B$5=$O$85,S78,IF($B$5=$O$86,T78,IF($B$5=$O$87,U78,IF($B$5=$O$88,V78,IF($B$5=$O$89,W78,0)))))</f>
        <v>30</v>
      </c>
      <c r="P78" s="935">
        <f>(M68)*O78%</f>
        <v>11118.3</v>
      </c>
      <c r="Q78" s="1072"/>
      <c r="R78" s="938" t="s">
        <v>288</v>
      </c>
      <c r="S78" s="938">
        <v>30</v>
      </c>
      <c r="T78" s="938">
        <v>30</v>
      </c>
      <c r="U78" s="938">
        <v>30</v>
      </c>
      <c r="V78" s="938">
        <v>30</v>
      </c>
      <c r="W78" s="938">
        <v>30</v>
      </c>
      <c r="X78" s="57"/>
      <c r="Y78" s="57"/>
      <c r="Z78" s="57"/>
      <c r="AA78" s="57"/>
      <c r="AB78" s="57"/>
      <c r="AC78" s="57"/>
      <c r="AD78" s="57"/>
      <c r="AE78" s="57"/>
      <c r="AF78" s="57"/>
      <c r="AG78" s="49"/>
    </row>
    <row r="79" spans="1:33" ht="15.75">
      <c r="A79" s="427"/>
      <c r="B79" s="132"/>
      <c r="C79" s="132"/>
      <c r="D79" s="132"/>
      <c r="E79" s="132"/>
      <c r="F79" s="132"/>
      <c r="I79" s="52"/>
      <c r="J79" s="57"/>
      <c r="K79" s="57"/>
      <c r="L79" s="57"/>
      <c r="M79" s="937"/>
      <c r="N79" s="57"/>
      <c r="O79" s="938"/>
      <c r="P79" s="938"/>
      <c r="Q79" s="938"/>
      <c r="R79" s="938"/>
      <c r="S79" s="938"/>
      <c r="T79" s="938"/>
      <c r="U79" s="938"/>
      <c r="V79" s="938"/>
      <c r="W79" s="938"/>
      <c r="X79" s="57"/>
      <c r="Y79" s="57"/>
      <c r="Z79" s="57"/>
      <c r="AA79" s="57"/>
      <c r="AB79" s="57"/>
      <c r="AC79" s="57"/>
      <c r="AD79" s="57"/>
      <c r="AE79" s="57"/>
      <c r="AF79" s="57"/>
      <c r="AG79" s="49"/>
    </row>
    <row r="80" spans="1:33" ht="15.75">
      <c r="A80" s="131"/>
      <c r="B80" s="132"/>
      <c r="C80" s="132"/>
      <c r="D80" s="132"/>
      <c r="E80" s="132"/>
      <c r="F80" s="132"/>
      <c r="I80" s="52"/>
      <c r="J80" s="57"/>
      <c r="K80" s="57"/>
      <c r="L80" s="57"/>
      <c r="M80" s="1070">
        <f>IF($D$5="A",P80,IF($D$5="B",P81,IF($D$5="C",P82,0)))</f>
        <v>8894.64</v>
      </c>
      <c r="N80" s="1071">
        <f>IF($D$5="A",O80,IF($D$5="B",O81,IF($D$5="C",O82,0)))</f>
        <v>24</v>
      </c>
      <c r="O80" s="936">
        <f>IF($B$5=$O$85,S80,IF($B$5=$O$86,T80,IF($B$5=$O$87,U80,IF($B$5=$O$88,V80,IF($B$5=$O$89,W80,0)))))</f>
        <v>24</v>
      </c>
      <c r="P80" s="935">
        <f>(M68)*O80%</f>
        <v>8894.64</v>
      </c>
      <c r="Q80" s="1072" t="s">
        <v>296</v>
      </c>
      <c r="R80" s="938" t="s">
        <v>197</v>
      </c>
      <c r="S80" s="938">
        <v>20</v>
      </c>
      <c r="T80" s="938">
        <v>24</v>
      </c>
      <c r="U80" s="938">
        <v>30</v>
      </c>
      <c r="V80" s="938">
        <v>38</v>
      </c>
      <c r="W80" s="938">
        <v>44</v>
      </c>
      <c r="X80" s="57"/>
      <c r="Y80" s="57"/>
      <c r="Z80" s="57"/>
      <c r="AA80" s="57"/>
      <c r="AB80" s="57"/>
      <c r="AC80" s="57"/>
      <c r="AD80" s="57"/>
      <c r="AE80" s="57"/>
      <c r="AF80" s="57"/>
      <c r="AG80" s="49"/>
    </row>
    <row r="81" spans="1:33" ht="15.75">
      <c r="A81" s="86"/>
      <c r="B81" s="86"/>
      <c r="C81" s="86"/>
      <c r="D81" s="86"/>
      <c r="E81" s="86"/>
      <c r="F81" s="86"/>
      <c r="I81" s="52"/>
      <c r="J81" s="57"/>
      <c r="K81" s="57"/>
      <c r="L81" s="57"/>
      <c r="M81" s="1070"/>
      <c r="N81" s="1071"/>
      <c r="O81" s="936">
        <f>IF($B$5=$O$85,S81,IF($B$5=$O$86,T81,IF($B$5=$O$87,U81,IF($B$5=$O$88,V81,IF($B$5=$O$89,W81,0)))))</f>
        <v>15</v>
      </c>
      <c r="P81" s="935">
        <f>(M68)*O81%</f>
        <v>5559.15</v>
      </c>
      <c r="Q81" s="1072"/>
      <c r="R81" s="938" t="s">
        <v>294</v>
      </c>
      <c r="S81" s="938">
        <v>12</v>
      </c>
      <c r="T81" s="938">
        <v>15</v>
      </c>
      <c r="U81" s="938">
        <v>22</v>
      </c>
      <c r="V81" s="938">
        <v>26</v>
      </c>
      <c r="W81" s="938">
        <v>30</v>
      </c>
      <c r="X81" s="57"/>
      <c r="Y81" s="57"/>
      <c r="Z81" s="57"/>
      <c r="AA81" s="57"/>
      <c r="AB81" s="57"/>
      <c r="AC81" s="57"/>
      <c r="AD81" s="57"/>
      <c r="AE81" s="57"/>
      <c r="AF81" s="57"/>
      <c r="AG81" s="49"/>
    </row>
    <row r="82" spans="1:33" ht="23.25">
      <c r="A82" s="129"/>
      <c r="B82" s="151"/>
      <c r="C82" s="151"/>
      <c r="D82" s="151"/>
      <c r="E82" s="151"/>
      <c r="F82" s="151"/>
      <c r="I82" s="52"/>
      <c r="J82" s="57"/>
      <c r="K82" s="57"/>
      <c r="L82" s="57"/>
      <c r="M82" s="1070"/>
      <c r="N82" s="1071"/>
      <c r="O82" s="936">
        <f>IF($B$5=$O$85,S82,IF($B$5=$O$86,T82,IF($B$5=$O$87,U82,IF($B$5=$O$88,V82,IF($B$5=$O$89,W82,0)))))</f>
        <v>30</v>
      </c>
      <c r="P82" s="935">
        <f>(M68)*O82%</f>
        <v>11118.3</v>
      </c>
      <c r="Q82" s="1072"/>
      <c r="R82" s="938" t="s">
        <v>288</v>
      </c>
      <c r="S82" s="938">
        <v>30</v>
      </c>
      <c r="T82" s="938">
        <v>30</v>
      </c>
      <c r="U82" s="938">
        <v>30</v>
      </c>
      <c r="V82" s="938">
        <v>30</v>
      </c>
      <c r="W82" s="938">
        <v>30</v>
      </c>
      <c r="X82" s="57"/>
      <c r="Y82" s="57"/>
      <c r="Z82" s="57"/>
      <c r="AA82" s="57"/>
      <c r="AB82" s="57"/>
      <c r="AC82" s="57"/>
      <c r="AD82" s="57"/>
      <c r="AE82" s="57"/>
      <c r="AF82" s="57"/>
      <c r="AG82" s="49"/>
    </row>
    <row r="83" spans="1:33">
      <c r="A83" s="86"/>
      <c r="B83" s="86"/>
      <c r="C83" s="86"/>
      <c r="D83" s="86"/>
      <c r="E83" s="86"/>
      <c r="F83" s="86"/>
      <c r="I83" s="52"/>
      <c r="J83" s="57"/>
      <c r="K83" s="57"/>
      <c r="L83" s="57"/>
      <c r="M83" s="57"/>
      <c r="N83" s="57"/>
      <c r="O83" s="57"/>
      <c r="P83" s="57"/>
      <c r="Q83" s="57"/>
      <c r="R83" s="57"/>
      <c r="S83" s="57"/>
      <c r="T83" s="57"/>
      <c r="U83" s="57"/>
      <c r="V83" s="57"/>
      <c r="W83" s="57"/>
      <c r="X83" s="57"/>
      <c r="Y83" s="57"/>
      <c r="Z83" s="57"/>
      <c r="AA83" s="57"/>
      <c r="AB83" s="57"/>
      <c r="AC83" s="57"/>
      <c r="AD83" s="57"/>
      <c r="AE83" s="57"/>
      <c r="AF83" s="57"/>
      <c r="AG83" s="49"/>
    </row>
    <row r="84" spans="1:33" ht="15.75">
      <c r="A84" s="131"/>
      <c r="B84" s="132"/>
      <c r="C84" s="132"/>
      <c r="D84" s="132"/>
      <c r="E84" s="132"/>
      <c r="F84" s="132"/>
      <c r="I84" s="52"/>
      <c r="J84" s="57"/>
      <c r="K84" s="57"/>
      <c r="L84" s="57"/>
      <c r="M84" s="57"/>
      <c r="N84" s="57"/>
      <c r="O84" s="57"/>
      <c r="P84" s="57"/>
      <c r="Q84" s="57"/>
      <c r="R84" s="57"/>
      <c r="S84" s="57"/>
      <c r="T84" s="57"/>
      <c r="U84" s="57"/>
      <c r="V84" s="57"/>
      <c r="W84" s="57"/>
      <c r="X84" s="57"/>
      <c r="Y84" s="57"/>
      <c r="Z84" s="57"/>
      <c r="AA84" s="57"/>
      <c r="AB84" s="57"/>
      <c r="AC84" s="57"/>
      <c r="AD84" s="57"/>
      <c r="AE84" s="57"/>
      <c r="AF84" s="57"/>
      <c r="AG84" s="49"/>
    </row>
    <row r="85" spans="1:33" ht="15.75">
      <c r="A85" s="427"/>
      <c r="B85" s="132"/>
      <c r="C85" s="132"/>
      <c r="D85" s="132"/>
      <c r="E85" s="132"/>
      <c r="F85" s="132"/>
      <c r="I85" s="52"/>
      <c r="J85" s="57"/>
      <c r="K85" s="57"/>
      <c r="L85" s="57"/>
      <c r="M85" s="57" t="str">
        <f>IF(OR(B4="Public Package",B4="Private Package",B4="E-Cart Public", B4="E-Cart Private"),"GCV_Pack","nildepgcfv")</f>
        <v>nildepgcfv</v>
      </c>
      <c r="N85" s="57" t="s">
        <v>17</v>
      </c>
      <c r="O85" s="57" t="s">
        <v>201</v>
      </c>
      <c r="P85" s="57"/>
      <c r="Q85" s="57"/>
      <c r="R85" s="57" t="s">
        <v>574</v>
      </c>
      <c r="S85" s="57"/>
      <c r="T85" s="57"/>
      <c r="U85" s="57"/>
      <c r="V85" s="57"/>
      <c r="W85" s="57"/>
      <c r="X85" s="57"/>
      <c r="Y85" s="57"/>
      <c r="Z85" s="57"/>
      <c r="AA85" s="57"/>
      <c r="AB85" s="57"/>
      <c r="AC85" s="57"/>
      <c r="AD85" s="57"/>
      <c r="AE85" s="57"/>
      <c r="AF85" s="57"/>
      <c r="AG85" s="49"/>
    </row>
    <row r="86" spans="1:33" ht="15.75">
      <c r="A86" s="131"/>
      <c r="B86" s="132"/>
      <c r="C86" s="132"/>
      <c r="D86" s="132"/>
      <c r="E86" s="132"/>
      <c r="F86" s="132"/>
      <c r="I86" s="52"/>
      <c r="J86" s="57"/>
      <c r="K86" s="57"/>
      <c r="L86" s="57"/>
      <c r="M86" s="57"/>
      <c r="N86" s="57" t="s">
        <v>170</v>
      </c>
      <c r="O86" s="57" t="s">
        <v>336</v>
      </c>
      <c r="P86" s="57"/>
      <c r="Q86" s="57"/>
      <c r="R86" s="57">
        <f>IF($L$60="&lt;7500",15746,IF($L$60="7501-12000",26935,IF($L$60="12001-20000",33418,IF($L$60="20001-40000",43037,IF($L$60="&gt;40000",41561,0)))))</f>
        <v>41561</v>
      </c>
      <c r="S86" s="57" t="s">
        <v>575</v>
      </c>
      <c r="T86" s="57"/>
      <c r="U86" s="57"/>
      <c r="V86" s="57"/>
      <c r="W86" s="57"/>
      <c r="X86" s="57"/>
      <c r="Y86" s="57"/>
      <c r="Z86" s="57"/>
      <c r="AA86" s="57"/>
      <c r="AB86" s="57"/>
      <c r="AC86" s="57"/>
      <c r="AD86" s="57"/>
      <c r="AE86" s="57"/>
      <c r="AF86" s="57"/>
      <c r="AG86" s="49"/>
    </row>
    <row r="87" spans="1:33">
      <c r="A87" s="86"/>
      <c r="B87" s="86"/>
      <c r="C87" s="86"/>
      <c r="D87" s="86"/>
      <c r="E87" s="86"/>
      <c r="F87" s="86"/>
      <c r="I87" s="52"/>
      <c r="J87" s="57"/>
      <c r="K87" s="57"/>
      <c r="L87" s="57"/>
      <c r="M87" s="57"/>
      <c r="N87" s="57" t="s">
        <v>195</v>
      </c>
      <c r="O87" s="57" t="s">
        <v>337</v>
      </c>
      <c r="P87" s="57"/>
      <c r="Q87" s="57"/>
      <c r="R87" s="57">
        <f>IF($L$60="&lt;7500",8438,IF($L$60="7501-12000",17204,IF($L$60="12001-20000",10876,IF($L$60="20001-40000",17476,IF($L$60="&gt;40000",24825,0)))))</f>
        <v>24825</v>
      </c>
      <c r="S87" s="57" t="s">
        <v>576</v>
      </c>
      <c r="T87" s="57"/>
      <c r="U87" s="57"/>
      <c r="V87" s="57"/>
      <c r="W87" s="57"/>
      <c r="X87" s="57"/>
      <c r="Y87" s="57"/>
      <c r="Z87" s="57"/>
      <c r="AA87" s="57"/>
      <c r="AB87" s="57"/>
      <c r="AC87" s="57"/>
      <c r="AD87" s="57"/>
      <c r="AE87" s="57"/>
      <c r="AF87" s="57"/>
      <c r="AG87" s="49"/>
    </row>
    <row r="88" spans="1:33" ht="23.25">
      <c r="A88" s="129"/>
      <c r="B88" s="151"/>
      <c r="C88" s="151"/>
      <c r="D88" s="151"/>
      <c r="E88" s="151"/>
      <c r="F88" s="151"/>
      <c r="I88" s="52"/>
      <c r="J88" s="57"/>
      <c r="K88" s="57"/>
      <c r="L88" s="57"/>
      <c r="M88" s="57"/>
      <c r="N88" s="57"/>
      <c r="O88" s="57" t="s">
        <v>338</v>
      </c>
      <c r="P88" s="57"/>
      <c r="Q88" s="57"/>
      <c r="R88" s="57">
        <v>3175</v>
      </c>
      <c r="S88" s="57" t="s">
        <v>573</v>
      </c>
      <c r="T88" s="57"/>
      <c r="U88" s="57"/>
      <c r="V88" s="57"/>
      <c r="W88" s="57"/>
      <c r="X88" s="57"/>
      <c r="Y88" s="57"/>
      <c r="Z88" s="57"/>
      <c r="AA88" s="57"/>
      <c r="AB88" s="57"/>
      <c r="AC88" s="57"/>
      <c r="AD88" s="57"/>
      <c r="AE88" s="57"/>
      <c r="AF88" s="57"/>
      <c r="AG88" s="49"/>
    </row>
    <row r="89" spans="1:33">
      <c r="A89" s="86"/>
      <c r="B89" s="86"/>
      <c r="C89" s="86"/>
      <c r="D89" s="86"/>
      <c r="E89" s="86"/>
      <c r="F89" s="86"/>
      <c r="I89" s="52"/>
      <c r="J89" s="57"/>
      <c r="K89" s="57"/>
      <c r="L89" s="57"/>
      <c r="M89" s="57"/>
      <c r="N89" s="57"/>
      <c r="O89" s="57" t="s">
        <v>339</v>
      </c>
      <c r="P89" s="57"/>
      <c r="Q89" s="57"/>
      <c r="R89" s="57">
        <v>2579</v>
      </c>
      <c r="S89" s="57" t="s">
        <v>577</v>
      </c>
      <c r="T89" s="57"/>
      <c r="U89" s="57"/>
      <c r="V89" s="57"/>
      <c r="W89" s="57"/>
      <c r="X89" s="57"/>
      <c r="Y89" s="57"/>
      <c r="Z89" s="57"/>
      <c r="AA89" s="57"/>
      <c r="AB89" s="57"/>
      <c r="AC89" s="57"/>
      <c r="AD89" s="57"/>
      <c r="AE89" s="57"/>
      <c r="AF89" s="57"/>
      <c r="AG89" s="49"/>
    </row>
    <row r="90" spans="1:33" ht="15.75">
      <c r="A90" s="131"/>
      <c r="B90" s="132"/>
      <c r="C90" s="132"/>
      <c r="D90" s="132"/>
      <c r="E90" s="132"/>
      <c r="F90" s="132"/>
      <c r="I90" s="52"/>
      <c r="J90" s="57"/>
      <c r="K90" s="57"/>
      <c r="L90" s="57"/>
      <c r="M90" s="57"/>
      <c r="N90" s="57"/>
      <c r="O90" s="57"/>
      <c r="P90" s="57"/>
      <c r="Q90" s="57"/>
      <c r="R90" s="57"/>
      <c r="S90" s="57"/>
      <c r="T90" s="57"/>
      <c r="U90" s="57"/>
      <c r="V90" s="57"/>
      <c r="W90" s="57"/>
      <c r="X90" s="57"/>
      <c r="Y90" s="57"/>
      <c r="Z90" s="57"/>
      <c r="AA90" s="57"/>
      <c r="AB90" s="57"/>
      <c r="AC90" s="57"/>
      <c r="AD90" s="57"/>
      <c r="AE90" s="57"/>
      <c r="AF90" s="57"/>
      <c r="AG90" s="49"/>
    </row>
    <row r="91" spans="1:33" ht="15.75">
      <c r="A91" s="427"/>
      <c r="B91" s="132"/>
      <c r="C91" s="132"/>
      <c r="D91" s="132"/>
      <c r="E91" s="132"/>
      <c r="F91" s="132"/>
      <c r="I91" s="52"/>
      <c r="J91" s="57"/>
      <c r="K91" s="57"/>
      <c r="L91" s="57"/>
      <c r="M91" s="57"/>
      <c r="N91" s="57"/>
      <c r="O91" s="57"/>
      <c r="P91" s="57"/>
      <c r="Q91" s="57"/>
      <c r="R91" s="57"/>
      <c r="S91" s="57"/>
      <c r="T91" s="57"/>
      <c r="U91" s="57"/>
      <c r="V91" s="57"/>
      <c r="W91" s="57"/>
      <c r="X91" s="57"/>
      <c r="Y91" s="57"/>
      <c r="Z91" s="57"/>
      <c r="AA91" s="57"/>
      <c r="AB91" s="57"/>
      <c r="AC91" s="57"/>
      <c r="AD91" s="57"/>
      <c r="AE91" s="57"/>
      <c r="AF91" s="57"/>
      <c r="AG91" s="49"/>
    </row>
    <row r="92" spans="1:33" ht="15.75">
      <c r="A92" s="131"/>
      <c r="B92" s="132"/>
      <c r="C92" s="132"/>
      <c r="D92" s="132"/>
      <c r="E92" s="132"/>
      <c r="F92" s="132"/>
      <c r="I92" s="52"/>
      <c r="J92" s="57"/>
      <c r="K92" s="57"/>
      <c r="L92" s="57"/>
      <c r="M92" s="57"/>
      <c r="N92" s="57"/>
      <c r="O92" s="57"/>
      <c r="P92" s="57"/>
      <c r="Q92" s="57"/>
      <c r="R92" s="57"/>
      <c r="S92" s="57"/>
      <c r="T92" s="57"/>
      <c r="U92" s="57"/>
      <c r="V92" s="57"/>
      <c r="W92" s="57"/>
      <c r="X92" s="57"/>
      <c r="Y92" s="57"/>
      <c r="Z92" s="57"/>
      <c r="AA92" s="57"/>
      <c r="AB92" s="57"/>
      <c r="AC92" s="57"/>
      <c r="AD92" s="57"/>
      <c r="AE92" s="57"/>
      <c r="AF92" s="57"/>
      <c r="AG92" s="49"/>
    </row>
    <row r="93" spans="1:33">
      <c r="A93" s="86"/>
      <c r="B93" s="86"/>
      <c r="C93" s="86"/>
      <c r="D93" s="86"/>
      <c r="E93" s="86"/>
      <c r="F93" s="86"/>
      <c r="I93" s="52"/>
      <c r="J93" s="57"/>
      <c r="K93" s="57"/>
      <c r="L93" s="57"/>
      <c r="M93" s="57"/>
      <c r="N93" s="57"/>
      <c r="O93" s="57"/>
      <c r="P93" s="57"/>
      <c r="Q93" s="57"/>
      <c r="R93" s="57"/>
      <c r="S93" s="57"/>
      <c r="T93" s="57"/>
      <c r="U93" s="57"/>
      <c r="V93" s="57"/>
      <c r="W93" s="57"/>
      <c r="X93" s="57"/>
      <c r="Y93" s="57"/>
      <c r="Z93" s="57"/>
      <c r="AA93" s="57"/>
      <c r="AB93" s="57"/>
      <c r="AC93" s="57"/>
      <c r="AD93" s="57"/>
      <c r="AE93" s="57"/>
      <c r="AF93" s="57"/>
      <c r="AG93" s="49"/>
    </row>
    <row r="94" spans="1:33" ht="37.5">
      <c r="A94" s="149"/>
      <c r="B94" s="86"/>
      <c r="C94" s="86"/>
      <c r="D94" s="86"/>
      <c r="E94" s="86"/>
      <c r="F94" s="150"/>
      <c r="I94" s="52"/>
      <c r="J94" s="57"/>
      <c r="K94" s="57"/>
      <c r="L94" s="57"/>
      <c r="M94" s="57"/>
      <c r="N94" s="57"/>
      <c r="O94" s="57"/>
      <c r="P94" s="57"/>
      <c r="Q94" s="57"/>
      <c r="R94" s="57"/>
      <c r="S94" s="57"/>
      <c r="T94" s="57"/>
      <c r="U94" s="57"/>
      <c r="V94" s="57"/>
      <c r="W94" s="57"/>
      <c r="X94" s="57"/>
      <c r="Y94" s="57"/>
      <c r="Z94" s="57"/>
      <c r="AA94" s="57"/>
      <c r="AB94" s="57"/>
      <c r="AC94" s="57"/>
      <c r="AD94" s="57"/>
      <c r="AE94" s="57"/>
      <c r="AF94" s="57"/>
      <c r="AG94" s="49"/>
    </row>
    <row r="95" spans="1:33" ht="17.25" customHeight="1">
      <c r="A95" s="129"/>
      <c r="B95" s="151"/>
      <c r="C95" s="151"/>
      <c r="D95" s="151"/>
      <c r="E95" s="151"/>
      <c r="F95" s="151"/>
      <c r="I95" s="52"/>
      <c r="J95" s="57"/>
      <c r="K95" s="57"/>
      <c r="L95" s="57"/>
      <c r="M95" s="57"/>
      <c r="N95" s="57"/>
      <c r="O95" s="57"/>
      <c r="P95" s="57"/>
      <c r="Q95" s="57"/>
      <c r="R95" s="57"/>
      <c r="S95" s="57"/>
      <c r="T95" s="57"/>
      <c r="U95" s="57"/>
      <c r="V95" s="57"/>
      <c r="W95" s="57"/>
      <c r="X95" s="57"/>
      <c r="Y95" s="57"/>
      <c r="Z95" s="57"/>
      <c r="AA95" s="57"/>
      <c r="AB95" s="57"/>
      <c r="AC95" s="57"/>
      <c r="AD95" s="57"/>
      <c r="AE95" s="57"/>
      <c r="AF95" s="57"/>
      <c r="AG95" s="49"/>
    </row>
    <row r="96" spans="1:33">
      <c r="A96" s="86"/>
      <c r="B96" s="86"/>
      <c r="C96" s="86"/>
      <c r="D96" s="86"/>
      <c r="E96" s="86"/>
      <c r="F96" s="86"/>
      <c r="I96" s="52"/>
      <c r="J96" s="57"/>
      <c r="K96" s="57"/>
      <c r="L96" s="57"/>
      <c r="M96" s="57"/>
      <c r="N96" s="57"/>
      <c r="O96" s="57"/>
      <c r="P96" s="57"/>
      <c r="Q96" s="57"/>
      <c r="R96" s="57"/>
      <c r="S96" s="57"/>
      <c r="T96" s="57"/>
      <c r="U96" s="57"/>
      <c r="V96" s="57"/>
      <c r="W96" s="57"/>
      <c r="X96" s="57"/>
      <c r="Y96" s="57"/>
      <c r="Z96" s="57"/>
      <c r="AA96" s="57"/>
      <c r="AB96" s="57"/>
      <c r="AC96" s="57"/>
      <c r="AD96" s="57"/>
      <c r="AE96" s="57"/>
      <c r="AF96" s="57"/>
      <c r="AG96" s="49"/>
    </row>
    <row r="97" spans="1:33" ht="15.75">
      <c r="A97" s="131"/>
      <c r="B97" s="132"/>
      <c r="C97" s="132"/>
      <c r="D97" s="132"/>
      <c r="E97" s="132"/>
      <c r="F97" s="132"/>
      <c r="J97" s="49"/>
      <c r="K97" s="49"/>
      <c r="L97" s="49"/>
      <c r="M97" s="49"/>
      <c r="N97" s="49"/>
      <c r="O97" s="49"/>
      <c r="P97" s="49"/>
      <c r="Q97" s="49"/>
      <c r="R97" s="49"/>
      <c r="S97" s="49"/>
      <c r="T97" s="49"/>
      <c r="U97" s="49"/>
      <c r="V97" s="49"/>
      <c r="W97" s="49"/>
      <c r="X97" s="49"/>
      <c r="Y97" s="49"/>
      <c r="Z97" s="49"/>
      <c r="AA97" s="49"/>
      <c r="AB97" s="49"/>
      <c r="AC97" s="49"/>
      <c r="AD97" s="49"/>
      <c r="AE97" s="49"/>
      <c r="AF97" s="49"/>
      <c r="AG97" s="49"/>
    </row>
    <row r="98" spans="1:33" ht="15" customHeight="1">
      <c r="A98" s="427"/>
      <c r="B98" s="132"/>
      <c r="C98" s="132"/>
      <c r="D98" s="132"/>
      <c r="E98" s="132"/>
      <c r="F98" s="132"/>
      <c r="J98" s="49"/>
      <c r="K98" s="49"/>
      <c r="L98" s="49"/>
      <c r="M98" s="49"/>
      <c r="N98" s="49"/>
      <c r="O98" s="49"/>
      <c r="P98" s="49"/>
      <c r="Q98" s="49"/>
      <c r="R98" s="49"/>
      <c r="S98" s="49"/>
      <c r="T98" s="49"/>
      <c r="U98" s="49"/>
      <c r="V98" s="49"/>
      <c r="W98" s="49"/>
      <c r="X98" s="49"/>
      <c r="Y98" s="49"/>
      <c r="Z98" s="49"/>
      <c r="AA98" s="49"/>
      <c r="AB98" s="49"/>
      <c r="AC98" s="49"/>
      <c r="AD98" s="49"/>
      <c r="AE98" s="49"/>
      <c r="AF98" s="49"/>
      <c r="AG98" s="49"/>
    </row>
    <row r="99" spans="1:33" ht="15.75">
      <c r="A99" s="131"/>
      <c r="B99" s="132"/>
      <c r="C99" s="132"/>
      <c r="D99" s="132"/>
      <c r="E99" s="132"/>
      <c r="F99" s="132"/>
      <c r="J99" s="49"/>
      <c r="K99" s="49"/>
      <c r="L99" s="49"/>
      <c r="M99" s="49"/>
      <c r="N99" s="49"/>
      <c r="O99" s="49"/>
      <c r="P99" s="49"/>
      <c r="Q99" s="49"/>
      <c r="R99" s="49"/>
      <c r="S99" s="49"/>
      <c r="T99" s="49"/>
      <c r="U99" s="49"/>
      <c r="V99" s="49"/>
      <c r="W99" s="49"/>
      <c r="X99" s="49"/>
      <c r="Y99" s="49"/>
      <c r="Z99" s="49"/>
      <c r="AA99" s="49"/>
      <c r="AB99" s="49"/>
      <c r="AC99" s="49"/>
      <c r="AD99" s="49"/>
      <c r="AE99" s="49"/>
      <c r="AF99" s="49"/>
      <c r="AG99" s="49"/>
    </row>
    <row r="100" spans="1:33">
      <c r="A100" s="86"/>
      <c r="B100" s="150"/>
      <c r="C100" s="150"/>
      <c r="D100" s="150"/>
      <c r="E100" s="150"/>
      <c r="F100" s="86"/>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ht="23.25">
      <c r="A101" s="129"/>
      <c r="B101" s="151"/>
      <c r="C101" s="151"/>
      <c r="D101" s="151"/>
      <c r="E101" s="151"/>
      <c r="F101" s="151"/>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row>
    <row r="102" spans="1:33">
      <c r="A102" s="86"/>
      <c r="B102" s="86"/>
      <c r="C102" s="86"/>
      <c r="D102" s="86"/>
      <c r="E102" s="86"/>
      <c r="F102" s="86"/>
    </row>
    <row r="103" spans="1:33" ht="15.75">
      <c r="A103" s="131"/>
      <c r="B103" s="132"/>
      <c r="C103" s="132"/>
      <c r="D103" s="132"/>
      <c r="E103" s="132"/>
      <c r="F103" s="132"/>
    </row>
    <row r="104" spans="1:33" ht="15.75">
      <c r="A104" s="427"/>
      <c r="B104" s="132"/>
      <c r="C104" s="132"/>
      <c r="D104" s="132"/>
      <c r="E104" s="132"/>
      <c r="F104" s="132"/>
    </row>
    <row r="105" spans="1:33" ht="15.75">
      <c r="A105" s="131"/>
      <c r="B105" s="132"/>
      <c r="C105" s="132"/>
      <c r="D105" s="132"/>
      <c r="E105" s="132"/>
      <c r="F105" s="132"/>
    </row>
    <row r="106" spans="1:33">
      <c r="A106" s="86"/>
      <c r="B106" s="86"/>
      <c r="C106" s="86"/>
      <c r="D106" s="86"/>
      <c r="E106" s="86"/>
      <c r="F106" s="86"/>
    </row>
    <row r="107" spans="1:33" ht="23.25">
      <c r="A107" s="129"/>
      <c r="B107" s="151"/>
      <c r="C107" s="151"/>
      <c r="D107" s="151"/>
      <c r="E107" s="151"/>
      <c r="F107" s="151"/>
    </row>
    <row r="108" spans="1:33">
      <c r="A108" s="86"/>
      <c r="B108" s="86"/>
      <c r="C108" s="86"/>
      <c r="D108" s="86"/>
      <c r="E108" s="86"/>
      <c r="F108" s="117"/>
    </row>
    <row r="109" spans="1:33" ht="15.75">
      <c r="A109" s="131"/>
      <c r="B109" s="132"/>
      <c r="C109" s="132"/>
      <c r="D109" s="132"/>
      <c r="E109" s="132"/>
      <c r="F109" s="130"/>
    </row>
    <row r="110" spans="1:33" ht="15.75">
      <c r="A110" s="427"/>
      <c r="B110" s="132"/>
      <c r="C110" s="132"/>
      <c r="D110" s="132"/>
      <c r="E110" s="132"/>
      <c r="F110" s="130"/>
    </row>
    <row r="111" spans="1:33" ht="15.75">
      <c r="A111" s="131"/>
      <c r="B111" s="132"/>
      <c r="C111" s="132"/>
      <c r="D111" s="132"/>
      <c r="E111" s="132"/>
      <c r="F111" s="130"/>
    </row>
    <row r="112" spans="1:33" ht="40.5">
      <c r="A112" s="152"/>
      <c r="B112" s="86"/>
      <c r="C112" s="86"/>
      <c r="D112" s="86"/>
      <c r="E112" s="86"/>
      <c r="F112" s="117"/>
    </row>
    <row r="113" spans="1:6" ht="23.25">
      <c r="A113" s="86"/>
      <c r="B113" s="129"/>
      <c r="C113" s="129"/>
      <c r="D113" s="129"/>
      <c r="E113" s="86"/>
      <c r="F113" s="86"/>
    </row>
    <row r="114" spans="1:6" ht="15.75">
      <c r="A114" s="131"/>
      <c r="B114" s="132"/>
      <c r="C114" s="132"/>
      <c r="D114" s="132"/>
      <c r="E114" s="86"/>
      <c r="F114" s="86"/>
    </row>
    <row r="115" spans="1:6" ht="15.75">
      <c r="A115" s="427"/>
      <c r="B115" s="132"/>
      <c r="C115" s="132"/>
      <c r="D115" s="132"/>
      <c r="E115" s="86"/>
      <c r="F115" s="86"/>
    </row>
    <row r="116" spans="1:6" ht="15" customHeight="1">
      <c r="A116" s="131"/>
      <c r="B116" s="132"/>
      <c r="C116" s="132"/>
      <c r="D116" s="132"/>
      <c r="E116" s="86"/>
      <c r="F116" s="86"/>
    </row>
    <row r="117" spans="1:6" ht="38.25">
      <c r="A117" s="153"/>
      <c r="B117" s="150"/>
      <c r="C117" s="86"/>
      <c r="D117" s="86"/>
      <c r="E117" s="86"/>
      <c r="F117" s="86"/>
    </row>
    <row r="118" spans="1:6" ht="23.25">
      <c r="A118" s="132"/>
      <c r="B118" s="129"/>
      <c r="C118" s="129"/>
      <c r="D118" s="129"/>
      <c r="E118" s="86"/>
      <c r="F118" s="86"/>
    </row>
    <row r="119" spans="1:6">
      <c r="A119" s="86"/>
      <c r="B119" s="150"/>
      <c r="C119" s="86"/>
      <c r="D119" s="86"/>
      <c r="E119" s="86"/>
      <c r="F119" s="86"/>
    </row>
    <row r="120" spans="1:6" ht="15.75">
      <c r="A120" s="131"/>
      <c r="B120" s="132"/>
      <c r="C120" s="132"/>
      <c r="D120" s="132"/>
      <c r="E120" s="86"/>
      <c r="F120" s="86"/>
    </row>
    <row r="121" spans="1:6" ht="15.75">
      <c r="A121" s="427"/>
      <c r="B121" s="132"/>
      <c r="C121" s="132"/>
      <c r="D121" s="132"/>
      <c r="E121" s="86"/>
      <c r="F121" s="86"/>
    </row>
    <row r="122" spans="1:6" ht="15.75">
      <c r="A122" s="131"/>
      <c r="B122" s="132"/>
      <c r="C122" s="132"/>
      <c r="D122" s="132"/>
      <c r="E122" s="150"/>
      <c r="F122" s="86"/>
    </row>
    <row r="123" spans="1:6" ht="45">
      <c r="A123" s="138"/>
      <c r="B123" s="86"/>
      <c r="C123" s="86"/>
      <c r="D123" s="86"/>
      <c r="E123" s="86"/>
      <c r="F123" s="86"/>
    </row>
    <row r="124" spans="1:6" ht="18.75" customHeight="1">
      <c r="A124" s="130"/>
      <c r="B124" s="129"/>
      <c r="C124" s="129"/>
      <c r="D124" s="129"/>
      <c r="E124" s="86"/>
      <c r="F124" s="86"/>
    </row>
    <row r="125" spans="1:6" ht="15.75">
      <c r="A125" s="131"/>
      <c r="B125" s="132"/>
      <c r="C125" s="132"/>
      <c r="D125" s="132"/>
      <c r="E125" s="86"/>
      <c r="F125" s="86"/>
    </row>
    <row r="126" spans="1:6" ht="15.75">
      <c r="A126" s="427"/>
      <c r="B126" s="130"/>
      <c r="C126" s="132"/>
      <c r="D126" s="132"/>
      <c r="E126" s="86"/>
      <c r="F126" s="86"/>
    </row>
    <row r="127" spans="1:6" ht="15.75">
      <c r="A127" s="131"/>
      <c r="B127" s="130"/>
      <c r="C127" s="132"/>
      <c r="D127" s="132"/>
      <c r="E127" s="86"/>
      <c r="F127" s="86"/>
    </row>
    <row r="128" spans="1:6">
      <c r="A128" s="28"/>
      <c r="B128" s="28"/>
      <c r="C128" s="28"/>
      <c r="D128" s="28"/>
      <c r="E128" s="28"/>
      <c r="F128" s="28"/>
    </row>
    <row r="129" spans="1:6">
      <c r="A129" s="28"/>
      <c r="B129" s="28"/>
      <c r="C129" s="28"/>
      <c r="D129" s="28"/>
      <c r="E129" s="28"/>
      <c r="F129" s="28"/>
    </row>
    <row r="130" spans="1:6">
      <c r="A130" s="28"/>
      <c r="B130" s="28"/>
      <c r="C130" s="28"/>
      <c r="D130" s="28"/>
      <c r="E130" s="28"/>
      <c r="F130" s="28"/>
    </row>
    <row r="131" spans="1:6" ht="17.25" customHeight="1">
      <c r="A131" s="28"/>
      <c r="B131" s="28"/>
      <c r="C131" s="28"/>
      <c r="D131" s="28"/>
      <c r="E131" s="28"/>
      <c r="F131" s="28"/>
    </row>
  </sheetData>
  <sheetProtection password="F7EB" sheet="1" objects="1" scenarios="1"/>
  <mergeCells count="42">
    <mergeCell ref="E26:F26"/>
    <mergeCell ref="AE50:AE53"/>
    <mergeCell ref="AF50:AF53"/>
    <mergeCell ref="AG50:AG53"/>
    <mergeCell ref="A1:F1"/>
    <mergeCell ref="H1:I1"/>
    <mergeCell ref="H2:I2"/>
    <mergeCell ref="H3:I3"/>
    <mergeCell ref="H4:I4"/>
    <mergeCell ref="E23:F23"/>
    <mergeCell ref="H5:I5"/>
    <mergeCell ref="A9:B9"/>
    <mergeCell ref="C9:D9"/>
    <mergeCell ref="E18:F18"/>
    <mergeCell ref="E19:F19"/>
    <mergeCell ref="H10:I11"/>
    <mergeCell ref="AK56:AK59"/>
    <mergeCell ref="AJ50:AJ53"/>
    <mergeCell ref="AK50:AK53"/>
    <mergeCell ref="AE54:AE55"/>
    <mergeCell ref="AF54:AF55"/>
    <mergeCell ref="AG54:AG55"/>
    <mergeCell ref="AI54:AI55"/>
    <mergeCell ref="AJ54:AJ55"/>
    <mergeCell ref="AK54:AK55"/>
    <mergeCell ref="AI50:AI53"/>
    <mergeCell ref="AE56:AE59"/>
    <mergeCell ref="AF56:AF59"/>
    <mergeCell ref="AG56:AG59"/>
    <mergeCell ref="AI56:AI59"/>
    <mergeCell ref="AJ56:AJ59"/>
    <mergeCell ref="M80:M82"/>
    <mergeCell ref="N80:N82"/>
    <mergeCell ref="Q80:Q82"/>
    <mergeCell ref="T65:W65"/>
    <mergeCell ref="AA67:AD67"/>
    <mergeCell ref="M72:M74"/>
    <mergeCell ref="N72:N74"/>
    <mergeCell ref="Q72:Q74"/>
    <mergeCell ref="M76:M78"/>
    <mergeCell ref="N76:N78"/>
    <mergeCell ref="Q76:Q78"/>
  </mergeCells>
  <conditionalFormatting sqref="E6:F6">
    <cfRule type="expression" dxfId="3" priority="1">
      <formula>OR($B$4="Public Enhancement",$B$4="Private Enhancement")</formula>
    </cfRule>
  </conditionalFormatting>
  <conditionalFormatting sqref="A21:B22 C4:D5">
    <cfRule type="expression" dxfId="2" priority="2">
      <formula>$B$4="Private Package"</formula>
    </cfRule>
    <cfRule type="expression" dxfId="1" priority="3">
      <formula>$B$4="Public Package"</formula>
    </cfRule>
  </conditionalFormatting>
  <dataValidations count="7">
    <dataValidation type="list" operator="equal" allowBlank="1" sqref="D5">
      <formula1>"A,B,C"</formula1>
      <formula2>0</formula2>
    </dataValidation>
    <dataValidation type="list" operator="equal" allowBlank="1" showErrorMessage="1" sqref="B6">
      <formula1>"0,20,25,35,45,50"</formula1>
    </dataValidation>
    <dataValidation type="list" operator="equal" allowBlank="1" showErrorMessage="1" sqref="B5">
      <formula1>INDIRECT(M85)</formula1>
    </dataValidation>
    <dataValidation type="list" operator="equal" allowBlank="1" showErrorMessage="1" sqref="F3 B7 F6">
      <formula1>"Yes,No"</formula1>
    </dataValidation>
    <dataValidation type="list" operator="equal" allowBlank="1" showErrorMessage="1" sqref="B3">
      <formula1>"Zone A, Zone B, Zone C"</formula1>
    </dataValidation>
    <dataValidation operator="equal" allowBlank="1" showErrorMessage="1" sqref="D4">
      <formula1>0</formula1>
      <formula2>0</formula2>
    </dataValidation>
    <dataValidation type="list" operator="equal" allowBlank="1" showErrorMessage="1" sqref="B4">
      <formula1>"Public Package, Public Enhancement, Private Package, Private Enhancement"</formula1>
    </dataValidation>
  </dataValidations>
  <hyperlinks>
    <hyperlink ref="H1" location="Motor Home Page!a1" display="Motor Home Page"/>
  </hyperlinks>
  <pageMargins left="0.70866141732283472" right="0.70866141732283472" top="0.74803149606299213" bottom="0.74803149606299213" header="0.31496062992125984" footer="0.51181102362204722"/>
  <pageSetup scale="80" firstPageNumber="0" orientation="landscape" horizontalDpi="300" verticalDpi="300" r:id="rId1"/>
  <headerFooter alignWithMargins="0">
    <oddHeader>&amp;CDesigned By Prashanth Komarraju</oddHeader>
  </headerFooter>
  <rowBreaks count="1" manualBreakCount="1">
    <brk id="23" max="16383" man="1"/>
  </rowBreaks>
  <colBreaks count="1" manualBreakCount="1">
    <brk id="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36</vt:i4>
      </vt:variant>
    </vt:vector>
  </HeadingPairs>
  <TitlesOfParts>
    <vt:vector size="50" baseType="lpstr">
      <vt:lpstr>Motor Home Page</vt:lpstr>
      <vt:lpstr>TW Enhancement</vt:lpstr>
      <vt:lpstr>TW LT Enh_3Yrs</vt:lpstr>
      <vt:lpstr>TW LT &amp; Bund Enh</vt:lpstr>
      <vt:lpstr>LT TW Liability</vt:lpstr>
      <vt:lpstr>New PC Enh &amp; Bundled</vt:lpstr>
      <vt:lpstr>PCV &lt;6 Nil Dep</vt:lpstr>
      <vt:lpstr>PCV &gt;6 Nil Dep</vt:lpstr>
      <vt:lpstr>GCV Package and Nil Dep</vt:lpstr>
      <vt:lpstr>3 wheeled Pass carrying &lt;6</vt:lpstr>
      <vt:lpstr>Tractor &amp; Trailer</vt:lpstr>
      <vt:lpstr>MISC</vt:lpstr>
      <vt:lpstr>TRANSFER</vt:lpstr>
      <vt:lpstr>Difference in TP Rates</vt:lpstr>
      <vt:lpstr>Age_Enh_Maxi</vt:lpstr>
      <vt:lpstr>Age_Enh_Taxi</vt:lpstr>
      <vt:lpstr>Age_Pack_Maxi</vt:lpstr>
      <vt:lpstr>Age_Pack_Taxi</vt:lpstr>
      <vt:lpstr>age_Pack_TW</vt:lpstr>
      <vt:lpstr>age_tw_pack</vt:lpstr>
      <vt:lpstr>'GCV Package and Nil Dep'!agetw_enh</vt:lpstr>
      <vt:lpstr>'New PC Enh &amp; Bundled'!agetw_enh</vt:lpstr>
      <vt:lpstr>'PCV &lt;6 Nil Dep'!agetw_enh</vt:lpstr>
      <vt:lpstr>'PCV &gt;6 Nil Dep'!agetw_enh</vt:lpstr>
      <vt:lpstr>agetw_enh</vt:lpstr>
      <vt:lpstr>GCV_Pack</vt:lpstr>
      <vt:lpstr>GCV_ZONE</vt:lpstr>
      <vt:lpstr>gcvage</vt:lpstr>
      <vt:lpstr>gcvncb</vt:lpstr>
      <vt:lpstr>NCB</vt:lpstr>
      <vt:lpstr>'GCV Package and Nil Dep'!nildepgcfv</vt:lpstr>
      <vt:lpstr>'New PC Enh &amp; Bundled'!nildepgcfv</vt:lpstr>
      <vt:lpstr>'PCV &lt;6 Nil Dep'!nildepgcfv</vt:lpstr>
      <vt:lpstr>'PCV &gt;6 Nil Dep'!nildepgcfv</vt:lpstr>
      <vt:lpstr>PC_Age_Pack</vt:lpstr>
      <vt:lpstr>PC_EnhAge</vt:lpstr>
      <vt:lpstr>PC_LT</vt:lpstr>
      <vt:lpstr>PC_Pack_Age</vt:lpstr>
      <vt:lpstr>'3 wheeled Pass carrying &lt;6'!Print_Area</vt:lpstr>
      <vt:lpstr>'GCV Package and Nil Dep'!Print_Area</vt:lpstr>
      <vt:lpstr>'LT TW Liability'!Print_Area</vt:lpstr>
      <vt:lpstr>MISC!Print_Area</vt:lpstr>
      <vt:lpstr>'New PC Enh &amp; Bundled'!Print_Area</vt:lpstr>
      <vt:lpstr>'PCV &lt;6 Nil Dep'!Print_Area</vt:lpstr>
      <vt:lpstr>'PCV &gt;6 Nil Dep'!Print_Area</vt:lpstr>
      <vt:lpstr>'Tractor &amp; Trailer'!Print_Area</vt:lpstr>
      <vt:lpstr>'TW Enhancement'!Print_Area</vt:lpstr>
      <vt:lpstr>'TW LT &amp; Bund Enh'!Print_Area</vt:lpstr>
      <vt:lpstr>'TW LT Enh_3Yrs'!Print_Area</vt:lpstr>
      <vt:lpstr>YN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SCCMAdmin</cp:lastModifiedBy>
  <cp:lastPrinted>2019-03-03T16:53:52Z</cp:lastPrinted>
  <dcterms:created xsi:type="dcterms:W3CDTF">2015-01-02T18:07:51Z</dcterms:created>
  <dcterms:modified xsi:type="dcterms:W3CDTF">2019-08-02T06:42:55Z</dcterms:modified>
</cp:coreProperties>
</file>